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Налоги!$BD$63</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Налоги!$AB$60:$BC$62</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Налоги!$AE$28:$BC$57</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Налоги!$AB$57</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Налоги!$AE$25:$BB$57</definedName>
    <definedName name="Taxes_LOAD_2">Налоги!$BC$24:$BC$57</definedName>
    <definedName name="Taxes_pIns_comm">Налоги!$AB$62</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<sst xmlns="http://schemas.openxmlformats.org/spreadsheetml/2006/main" count="14586" uniqueCount="4254">
  <si>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</si>
  <si>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</si>
  <si>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</si>
  <si>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</si>
  <si>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</si>
  <si>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</si>
  <si>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</si>
  <si>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</si>
  <si>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</si>
  <si>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</si>
  <si>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</si>
  <si>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</si>
  <si>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</si>
  <si>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</si>
  <si>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</si>
  <si>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</si>
  <si>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</si>
  <si>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</si>
  <si>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</si>
  <si>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</si>
  <si>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</si>
  <si>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</si>
  <si>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</si>
  <si>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</si>
  <si>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</si>
  <si>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</si>
  <si>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</si>
  <si>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</si>
  <si>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</si>
  <si>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</si>
  <si>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</si>
  <si>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</si>
  <si>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</si>
  <si>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</si>
  <si>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</si>
  <si>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</si>
  <si>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</si>
  <si>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</si>
  <si>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</si>
  <si>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</si>
  <si>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</si>
  <si>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</si>
  <si>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</si>
  <si>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</si>
  <si>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</si>
  <si>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</si>
  <si>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</si>
  <si>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</si>
  <si>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</si>
  <si>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</si>
  <si>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</si>
  <si>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</si>
  <si>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</si>
  <si>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</si>
  <si>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</si>
  <si>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</si>
  <si>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</si>
  <si>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</si>
  <si>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</si>
  <si>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</si>
  <si>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</si>
  <si>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</si>
  <si>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</si>
  <si>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</si>
  <si>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</si>
  <si>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</si>
  <si>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</si>
  <si>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</si>
  <si>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</si>
  <si>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</si>
  <si>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</si>
  <si>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</si>
  <si>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</si>
  <si>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</si>
  <si>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</si>
  <si>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</si>
  <si>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</si>
  <si>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</si>
  <si>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</si>
  <si>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</si>
  <si>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</si>
  <si>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</si>
  <si>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</si>
  <si>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</si>
  <si>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</si>
  <si>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</si>
  <si>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</si>
  <si>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</si>
  <si>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</si>
  <si>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</si>
  <si>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</si>
  <si>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</si>
  <si>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</si>
  <si>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</si>
  <si>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</si>
  <si>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</si>
  <si>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</si>
  <si>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</si>
  <si>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</si>
  <si>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</si>
  <si>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</si>
  <si>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</si>
  <si>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</si>
  <si>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</si>
  <si>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</si>
  <si>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</si>
  <si>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</si>
  <si>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</si>
  <si>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</si>
  <si>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</si>
  <si>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</si>
  <si>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</si>
  <si>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</si>
  <si>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</si>
  <si>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Ульяновская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</si>
  <si>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</si>
  <si>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</si>
  <si>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</si>
  <si>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</si>
  <si>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</si>
  <si>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</si>
  <si>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</si>
  <si>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</si>
  <si>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</si>
  <si>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</si>
  <si>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</si>
  <si>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</si>
  <si>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</si>
  <si>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</si>
  <si>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</si>
  <si>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</si>
  <si>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АГЕНТСТВО ПО РЕГУЛИРОВАНИЮ ЦЕН И ТАРИФОВ УЛЬЯНОВСКОЙ ОБЛАСТИ</t>
  </si>
  <si>
    <t>по результатам экспертизы предложения</t>
  </si>
  <si>
    <t>ООО "НИИАР-ГЕНЕРАЦИЯ"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</si>
  <si>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</si>
  <si>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</si>
  <si>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"НИИАР-ГЕНЕРАЦИЯ"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</si>
  <si>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</si>
  <si>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</si>
  <si>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</si>
  <si>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</si>
  <si>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</si>
  <si>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</si>
  <si>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1127329003163</t>
  </si>
  <si>
    <t>19.27.0.</t>
  </si>
  <si>
    <t>Идентификационный номер налогоплательщика (ИНН)</t>
  </si>
  <si>
    <t>7329008990</t>
  </si>
  <si>
    <t>19.2.0.</t>
  </si>
  <si>
    <t>Код причины постановки на учет (КПП)</t>
  </si>
  <si>
    <t>732901001</t>
  </si>
  <si>
    <t>19.3.0.</t>
  </si>
  <si>
    <t>Код по общероссийскому классификатору предприятию и организаций (ОКПО)</t>
  </si>
  <si>
    <t>87810621</t>
  </si>
  <si>
    <t>L2_7</t>
  </si>
  <si>
    <t>19.28.0.</t>
  </si>
  <si>
    <t>Организационно-правовая форма</t>
  </si>
  <si>
    <t>1 23 00 | Общества с ограниченной ответственностью</t>
  </si>
  <si>
    <t>L2_8</t>
  </si>
  <si>
    <t>19.20.0.</t>
  </si>
  <si>
    <t>Юридический адрес</t>
  </si>
  <si>
    <t>433510, Ульяновская область, г.Димитровград, Речное шоссе, д.6</t>
  </si>
  <si>
    <t>L2_9</t>
  </si>
  <si>
    <t>19.60.0.</t>
  </si>
  <si>
    <t>Фактический адрес</t>
  </si>
  <si>
    <t>L2_10</t>
  </si>
  <si>
    <t>19.75.0.</t>
  </si>
  <si>
    <t>Телефон организации</t>
  </si>
  <si>
    <t>+7(84235) 7- 97 -04;+7 (84235) 7- 97 -04(ф)</t>
  </si>
  <si>
    <t>L2_11</t>
  </si>
  <si>
    <t>19.63.0.</t>
  </si>
  <si>
    <t>Адрес электронной почты юридического лица (индивидуального предпринимателя)</t>
  </si>
  <si>
    <t>alvtrofimov@gmail.ru</t>
  </si>
  <si>
    <t>L2_12</t>
  </si>
  <si>
    <t>19.65.0.</t>
  </si>
  <si>
    <t>Фамилия, имя, отчество руководителя</t>
  </si>
  <si>
    <t>Елагин Иван Александрович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</si>
  <si>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</si>
  <si>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</si>
  <si>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</si>
  <si>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</si>
  <si>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</si>
  <si>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</si>
  <si>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</si>
  <si>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www.niiar.ru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</si>
  <si>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</si>
  <si>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</si>
  <si>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</si>
  <si>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</si>
  <si>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</si>
  <si>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</si>
  <si>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</si>
  <si>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</si>
  <si>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</si>
  <si>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</si>
  <si>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</si>
  <si>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</si>
  <si>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</si>
  <si>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</si>
  <si>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</si>
  <si>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</si>
  <si>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</si>
  <si>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</si>
  <si>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</si>
  <si>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</si>
  <si>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</si>
  <si>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</si>
  <si>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</si>
  <si>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</si>
  <si>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</si>
  <si>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</si>
  <si>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</si>
  <si>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</si>
  <si>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</si>
  <si>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</si>
  <si>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</si>
  <si>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</si>
  <si>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</si>
  <si>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</si>
  <si>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https://portal.eias.ru/Portal/DownloadPage.aspx?type=12&amp;guid=a8a2b3ed-3268-4c3b-921a-408f002ba99c</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</si>
  <si>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</si>
  <si>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</si>
  <si>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</si>
  <si>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</si>
  <si>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</si>
  <si>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</si>
  <si>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</si>
  <si>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</si>
  <si>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</si>
  <si>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</si>
  <si>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</si>
  <si>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</si>
  <si>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</si>
  <si>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</si>
  <si>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</si>
  <si>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</si>
  <si>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</si>
  <si>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</si>
  <si>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</si>
  <si>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</si>
  <si>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</si>
  <si>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</si>
  <si>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</si>
  <si>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</si>
  <si>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</si>
  <si>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</si>
  <si>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</si>
  <si>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</si>
  <si>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инвестиционной программы ООО "НИИАР-Генерация" на 2023-2028 годы</t>
  </si>
  <si>
    <t>распоряжение</t>
  </si>
  <si>
    <t>1396-од</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</si>
  <si>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</si>
  <si>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</si>
  <si>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</si>
  <si>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</si>
  <si>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</si>
  <si>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</si>
  <si>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</si>
  <si>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</si>
  <si>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</si>
  <si>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</si>
  <si>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</si>
  <si>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</si>
  <si>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</si>
  <si>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</si>
  <si>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</si>
  <si>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</si>
  <si>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</si>
  <si>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</si>
  <si>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Вавилина Оксана Александровна</t>
  </si>
  <si>
    <t>L5_1</t>
  </si>
  <si>
    <t>302.3.0.</t>
  </si>
  <si>
    <t>Должность исполнителя</t>
  </si>
  <si>
    <t>Начальник</t>
  </si>
  <si>
    <t>L5_2</t>
  </si>
  <si>
    <t>302.5.0.</t>
  </si>
  <si>
    <t>Контактный телефон исполнителя</t>
  </si>
  <si>
    <t>842224-16-27</t>
  </si>
  <si>
    <t>L5_3</t>
  </si>
  <si>
    <t>302.7.0.</t>
  </si>
  <si>
    <t>Адрес электронной почты исполнителя</t>
  </si>
  <si>
    <t>oxana.vavilina@yandex.ru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</si>
  <si>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</si>
  <si>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</si>
  <si>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</si>
  <si>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</si>
  <si>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</si>
  <si>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</si>
  <si>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</si>
  <si>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</si>
  <si>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</si>
  <si>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</si>
  <si>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</si>
  <si>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</si>
  <si>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</si>
  <si>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</si>
  <si>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</si>
  <si>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</si>
  <si>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</si>
  <si>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</si>
  <si>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</si>
  <si>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</si>
  <si>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</si>
  <si>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</si>
  <si>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</si>
  <si>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приказ</t>
  </si>
  <si>
    <t>L6_2</t>
  </si>
  <si>
    <t>195-П</t>
  </si>
  <si>
    <t>L6_3</t>
  </si>
  <si>
    <t>L6_4</t>
  </si>
  <si>
    <t>ТЭ.73.28136693.0002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</si>
  <si>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</si>
  <si>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</si>
  <si>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</si>
  <si>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</si>
  <si>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</si>
  <si>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</si>
  <si>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</si>
  <si>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</si>
  <si>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</si>
  <si>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</si>
  <si>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</si>
  <si>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</si>
  <si>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</si>
  <si>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</si>
  <si>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</si>
  <si>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</si>
  <si>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</si>
  <si>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</si>
  <si>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</si>
  <si>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</si>
  <si>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</si>
  <si>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</si>
  <si>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</si>
  <si>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</si>
  <si>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</si>
  <si>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</si>
  <si>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</si>
  <si>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</si>
  <si>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</si>
  <si>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</si>
  <si>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</si>
  <si>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</si>
  <si>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https://portal.eias.ru/Portal/DownloadPage.aspx?type=12&amp;guid=bedc4dcf-6981-4b63-add0-67f46b9db92a</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</si>
  <si>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</si>
  <si>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</si>
  <si>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</si>
  <si>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</si>
  <si>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</si>
  <si>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18-ТП-930/2023</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</si>
  <si>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</si>
  <si>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</si>
  <si>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</si>
  <si>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</si>
  <si>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</si>
  <si>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</si>
  <si>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</si>
  <si>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</si>
  <si>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</si>
  <si>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</si>
  <si>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</si>
  <si>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</si>
  <si>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oxana/vavilina@yandex.ru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</si>
  <si>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</si>
  <si>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</si>
  <si>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</si>
  <si>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</si>
  <si>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</si>
  <si>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</si>
  <si>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</si>
  <si>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</si>
  <si>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</si>
  <si>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</si>
  <si>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</si>
  <si>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</si>
  <si>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</si>
  <si>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</si>
  <si>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</si>
  <si>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</si>
  <si>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</si>
  <si>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</si>
  <si>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</si>
  <si>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</si>
  <si>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</si>
  <si>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</si>
  <si>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</si>
  <si>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</si>
  <si>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</si>
  <si>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</si>
  <si>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</si>
  <si>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</si>
  <si>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</si>
  <si>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</si>
  <si>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</si>
  <si>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</si>
  <si>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Димитровград</t>
  </si>
  <si>
    <t>73705000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</si>
  <si>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</si>
  <si>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</si>
  <si>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</si>
  <si>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</si>
  <si>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</si>
  <si>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</si>
  <si>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</si>
  <si>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</si>
  <si>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</si>
  <si>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</si>
  <si>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</si>
  <si>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</si>
  <si>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</si>
  <si>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</si>
  <si>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</si>
  <si>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</si>
  <si>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</si>
  <si>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</si>
  <si>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</si>
  <si>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</si>
  <si>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</si>
  <si>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ТЭЦ</t>
  </si>
  <si>
    <t>г Димитровград, ш. Речное, 7</t>
  </si>
  <si>
    <t>аренда</t>
  </si>
  <si>
    <t>договор</t>
  </si>
  <si>
    <t>8400/13-09</t>
  </si>
  <si>
    <t>01.04.2013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</si>
  <si>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</si>
  <si>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</si>
  <si>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</si>
  <si>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</si>
  <si>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</si>
  <si>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</si>
  <si>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</si>
  <si>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</si>
  <si>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</si>
  <si>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</si>
  <si>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</si>
  <si>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</si>
  <si>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</si>
  <si>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</si>
  <si>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</si>
  <si>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</si>
  <si>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</si>
  <si>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</si>
  <si>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</si>
  <si>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</si>
  <si>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</si>
  <si>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</si>
  <si>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</si>
  <si>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</si>
  <si>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</si>
  <si>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</si>
  <si>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</si>
  <si>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</si>
  <si>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</si>
  <si>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</si>
  <si>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</si>
  <si>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</si>
  <si>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</si>
  <si>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</si>
  <si>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</si>
  <si>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</si>
  <si>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</si>
  <si>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</si>
  <si>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</si>
  <si>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</si>
  <si>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</si>
  <si>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</si>
  <si>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</si>
  <si>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</si>
  <si>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</si>
  <si>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</si>
  <si>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</si>
  <si>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</si>
  <si>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</si>
  <si>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</si>
  <si>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</si>
  <si>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</si>
  <si>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</si>
  <si>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</si>
  <si>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</si>
  <si>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</si>
  <si>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</si>
  <si>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</si>
  <si>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</si>
  <si>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</si>
  <si>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</si>
  <si>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</si>
  <si>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</si>
  <si>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</si>
  <si>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</si>
  <si>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</si>
  <si>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</si>
  <si>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</si>
  <si>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</si>
  <si>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</si>
  <si>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</si>
  <si>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</si>
  <si>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</si>
  <si>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</si>
  <si>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</si>
  <si>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</si>
  <si>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</si>
  <si>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</si>
  <si>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</si>
  <si>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</si>
  <si>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</si>
  <si>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</si>
  <si>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</si>
  <si>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</si>
  <si>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</si>
  <si>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</si>
  <si>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</si>
  <si>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</si>
  <si>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</si>
  <si>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</si>
  <si>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</si>
  <si>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</si>
  <si>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</si>
  <si>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</si>
  <si>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</si>
  <si>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</si>
  <si>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</si>
  <si>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</si>
  <si>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</si>
  <si>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</si>
  <si>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</si>
  <si>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</si>
  <si>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</si>
  <si>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</si>
  <si>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</si>
  <si>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</si>
  <si>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</si>
  <si>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</si>
  <si>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</si>
  <si>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</si>
  <si>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</si>
  <si>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</si>
  <si>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</si>
  <si>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</si>
  <si>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</si>
  <si>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</si>
  <si>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</si>
  <si>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</si>
  <si>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</si>
  <si>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</si>
  <si>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</si>
  <si>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</si>
  <si>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</si>
  <si>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</si>
  <si>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</si>
  <si>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</si>
  <si>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</si>
  <si>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</si>
  <si>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</si>
  <si>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</si>
  <si>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</si>
  <si>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</si>
  <si>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</si>
  <si>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</si>
  <si>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</si>
  <si>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</si>
  <si>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</si>
  <si>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</si>
  <si>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</si>
  <si>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</si>
  <si>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</si>
  <si>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</si>
  <si>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</si>
  <si>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</si>
  <si>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</si>
  <si>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</si>
  <si>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</si>
  <si>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</si>
  <si>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</si>
  <si>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</si>
  <si>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</si>
  <si>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</si>
  <si>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</si>
  <si>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</si>
  <si>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</si>
  <si>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</si>
  <si>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</si>
  <si>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</si>
  <si>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</si>
  <si>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</si>
  <si>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</si>
  <si>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</si>
  <si>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</si>
  <si>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</si>
  <si>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</si>
  <si>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</si>
  <si>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</si>
  <si>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</si>
  <si>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</si>
  <si>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</si>
  <si>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</si>
  <si>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</si>
  <si>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</si>
  <si>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</si>
  <si>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</si>
  <si>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</si>
  <si>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</si>
  <si>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</si>
  <si>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</si>
  <si>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</si>
  <si>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</si>
  <si>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</si>
  <si>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</si>
  <si>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</si>
  <si>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</si>
  <si>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</si>
  <si>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</si>
  <si>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</si>
  <si>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</si>
  <si>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</si>
  <si>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</si>
  <si>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</si>
  <si>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</si>
  <si>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</si>
  <si>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</si>
  <si>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</si>
  <si>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</si>
  <si>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</si>
  <si>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</si>
  <si>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</si>
  <si>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</si>
  <si>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</si>
  <si>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</si>
  <si>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</si>
  <si>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</si>
  <si>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</si>
  <si>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</si>
  <si>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</si>
  <si>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</si>
  <si>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</si>
  <si>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</si>
  <si>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</si>
  <si>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</si>
  <si>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</si>
  <si>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</si>
  <si>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</si>
  <si>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</si>
  <si>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</si>
  <si>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</si>
  <si>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</si>
  <si>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</si>
  <si>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</si>
  <si>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</si>
  <si>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</si>
  <si>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</si>
  <si>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</si>
  <si>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</si>
  <si>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</si>
  <si>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</si>
  <si>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</si>
  <si>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</si>
  <si>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</si>
  <si>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</si>
  <si>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</si>
  <si>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</si>
  <si>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</si>
  <si>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</si>
  <si>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</si>
  <si>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</si>
  <si>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</si>
  <si>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</si>
  <si>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</si>
  <si>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</si>
  <si>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</si>
  <si>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</si>
  <si>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</si>
  <si>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</si>
  <si>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</si>
  <si>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</si>
  <si>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</si>
  <si>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</si>
  <si>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</si>
  <si>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</si>
  <si>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</si>
  <si>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</si>
  <si>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</si>
  <si>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</si>
  <si>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</si>
  <si>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</si>
  <si>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</si>
  <si>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</si>
  <si>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</si>
  <si>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</si>
  <si>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</si>
  <si>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</si>
  <si>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</si>
  <si>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</si>
  <si>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</si>
  <si>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</si>
  <si>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</si>
  <si>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</si>
  <si>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</si>
  <si>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</si>
  <si>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</si>
  <si>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</si>
  <si>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</si>
  <si>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</si>
  <si>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</si>
  <si>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</si>
  <si>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</si>
  <si>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</si>
  <si>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</si>
  <si>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</si>
  <si>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</si>
  <si>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</si>
  <si>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</si>
  <si>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</si>
  <si>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</si>
  <si>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</si>
  <si>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</si>
  <si>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</si>
  <si>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</si>
  <si>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</si>
  <si>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</si>
  <si>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</si>
  <si>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</si>
  <si>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</si>
  <si>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</si>
  <si>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</si>
  <si>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</si>
  <si>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</si>
  <si>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</si>
  <si>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</si>
  <si>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</si>
  <si>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</si>
  <si>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</si>
  <si>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</si>
  <si>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</si>
  <si>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</si>
  <si>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</si>
  <si>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</si>
  <si>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</si>
  <si>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</si>
  <si>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</si>
  <si>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</si>
  <si>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</si>
  <si>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</si>
  <si>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</si>
  <si>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</si>
  <si>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</si>
  <si>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</si>
  <si>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</si>
  <si>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</si>
  <si>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</si>
  <si>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</si>
  <si>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</si>
  <si>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</si>
  <si>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</si>
  <si>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</si>
  <si>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</si>
  <si>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</si>
  <si>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</si>
  <si>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</si>
  <si>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</si>
  <si>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</si>
  <si>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</si>
  <si>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</si>
  <si>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</si>
  <si>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</si>
  <si>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</si>
  <si>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</si>
  <si>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</si>
  <si>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</si>
  <si>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</si>
  <si>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</si>
  <si>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</si>
  <si>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</si>
  <si>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</si>
  <si>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</si>
  <si>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</si>
  <si>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</si>
  <si>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</si>
  <si>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</si>
  <si>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</si>
  <si>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</si>
  <si>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</si>
  <si>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</si>
  <si>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</si>
  <si>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</si>
  <si>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</si>
  <si>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</si>
  <si>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</si>
  <si>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</si>
  <si>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</si>
  <si>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</si>
  <si>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</si>
  <si>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</si>
  <si>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</si>
  <si>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</si>
  <si>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</si>
  <si>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</si>
  <si>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</si>
  <si>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</si>
  <si>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</si>
  <si>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</si>
  <si>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</si>
  <si>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</si>
  <si>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</si>
  <si>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</si>
  <si>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</si>
  <si>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</si>
  <si>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</si>
  <si>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</si>
  <si>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</si>
  <si>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</si>
  <si>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</si>
  <si>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</si>
  <si>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</si>
  <si>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</si>
  <si>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</si>
  <si>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</si>
  <si>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</si>
  <si>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</si>
  <si>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</si>
  <si>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</si>
  <si>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</si>
  <si>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</si>
  <si>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</si>
  <si>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</si>
  <si>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</si>
  <si>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</si>
  <si>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</si>
  <si>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</si>
  <si>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</si>
  <si>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</si>
  <si>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</si>
  <si>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</si>
  <si>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</si>
  <si>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</si>
  <si>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</si>
  <si>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</si>
  <si>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</si>
  <si>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</si>
  <si>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</si>
  <si>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</si>
  <si>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</si>
  <si>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</si>
  <si>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</si>
  <si>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</si>
  <si>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</si>
  <si>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</si>
  <si>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</si>
  <si>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</si>
  <si>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</si>
  <si>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</si>
  <si>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</si>
  <si>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</si>
  <si>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</si>
  <si>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</si>
  <si>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</si>
  <si>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</si>
  <si>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</si>
  <si>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</si>
  <si>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</si>
  <si>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</si>
  <si>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</si>
  <si>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</si>
  <si>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</si>
  <si>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</si>
  <si>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</si>
  <si>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</si>
  <si>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</si>
  <si>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</si>
  <si>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</si>
  <si>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</si>
  <si>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</si>
  <si>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</si>
  <si>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</si>
  <si>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</si>
  <si>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</si>
  <si>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</si>
  <si>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</si>
  <si>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</si>
  <si>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</si>
  <si>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</si>
  <si>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</si>
  <si>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</si>
  <si>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</si>
  <si>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</si>
  <si>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</si>
  <si>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</si>
  <si>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</si>
  <si>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</si>
  <si>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</si>
  <si>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</si>
  <si>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</si>
  <si>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</si>
  <si>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</si>
  <si>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</si>
  <si>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</si>
  <si>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</si>
  <si>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</si>
  <si>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</si>
  <si>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</si>
  <si>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</si>
  <si>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</si>
  <si>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</si>
  <si>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</si>
  <si>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</si>
  <si>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</si>
  <si>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</si>
  <si>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</si>
  <si>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</si>
  <si>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</si>
  <si>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</si>
  <si>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</si>
  <si>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</si>
  <si>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</si>
  <si>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</si>
  <si>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</si>
  <si>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</si>
  <si>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</si>
  <si>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</si>
  <si>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</si>
  <si>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</si>
  <si>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</si>
  <si>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</si>
  <si>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</si>
  <si>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</si>
  <si>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</si>
  <si>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</si>
  <si>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</si>
  <si>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</si>
  <si>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</si>
  <si>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</si>
  <si>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</si>
  <si>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</si>
  <si>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</si>
  <si>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</si>
  <si>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</si>
  <si>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</si>
  <si>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</si>
  <si>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</si>
  <si>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</si>
  <si>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</si>
  <si>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</si>
  <si>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</si>
  <si>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</si>
  <si>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</si>
  <si>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</si>
  <si>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</si>
  <si>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</si>
  <si>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</si>
  <si>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</si>
  <si>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</si>
  <si>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</si>
  <si>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</si>
  <si>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</si>
  <si>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</si>
  <si>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</si>
  <si>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</si>
  <si>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</si>
  <si>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</si>
  <si>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ООО "НИИАР-ГЕНЕРАЦИЯ"::7329008990::732901001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</si>
  <si>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</si>
  <si>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</si>
  <si>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</si>
  <si>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</si>
  <si>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</si>
  <si>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</si>
  <si>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</si>
  <si>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</si>
  <si>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</si>
  <si>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</si>
  <si>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</si>
  <si>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</si>
  <si>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</si>
  <si>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</si>
  <si>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</si>
  <si>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</si>
  <si>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</si>
  <si>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</si>
  <si>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</si>
  <si>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</si>
  <si>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</si>
  <si>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</si>
  <si>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</si>
  <si>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</si>
  <si>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</si>
  <si>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</si>
  <si>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</si>
  <si>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</si>
  <si>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</si>
  <si>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</si>
  <si>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</si>
  <si>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</si>
  <si>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</si>
  <si>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</si>
  <si>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</si>
  <si>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</si>
  <si>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</si>
  <si>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</si>
  <si>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</si>
  <si>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</si>
  <si>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</si>
  <si>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</si>
  <si>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</si>
  <si>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</si>
  <si>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</si>
  <si>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</si>
  <si>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</si>
  <si>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</si>
  <si>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</si>
  <si>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</si>
  <si>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</si>
  <si>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</si>
  <si>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</si>
  <si>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</si>
  <si>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</si>
  <si>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</si>
  <si>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</si>
  <si>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</si>
  <si>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</si>
  <si>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</si>
  <si>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</si>
  <si>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</si>
  <si>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</si>
  <si>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</si>
  <si>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</si>
  <si>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</si>
  <si>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</si>
  <si>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</si>
  <si>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</si>
  <si>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</si>
  <si>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</si>
  <si>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</si>
  <si>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</si>
  <si>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</si>
  <si>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</si>
  <si>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</si>
  <si>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</si>
  <si>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</si>
  <si>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</si>
  <si>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</si>
  <si>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</si>
  <si>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</si>
  <si>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</si>
  <si>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</si>
  <si>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</si>
  <si>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</si>
  <si>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</si>
  <si>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</si>
  <si>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</si>
  <si>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</si>
  <si>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</si>
  <si>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</si>
  <si>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</si>
  <si>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</si>
  <si>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</si>
  <si>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</si>
  <si>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</si>
  <si>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</si>
  <si>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</si>
  <si>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</si>
  <si>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</si>
  <si>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</si>
  <si>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</si>
  <si>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</si>
  <si>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</si>
  <si>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</si>
  <si>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</si>
  <si>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</si>
  <si>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</si>
  <si>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</si>
  <si>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</si>
  <si>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</si>
  <si>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</si>
  <si>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</si>
  <si>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</si>
  <si>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</si>
  <si>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</si>
  <si>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</si>
  <si>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</si>
  <si>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</si>
  <si>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</si>
  <si>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</si>
  <si>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</si>
  <si>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</si>
  <si>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</si>
  <si>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</si>
  <si>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</si>
  <si>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</si>
  <si>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</si>
  <si>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</si>
  <si>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</si>
  <si>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</si>
  <si>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</si>
  <si>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</si>
  <si>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</si>
  <si>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</si>
  <si>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</si>
  <si>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</si>
  <si>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</si>
  <si>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</si>
  <si>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</si>
  <si>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</si>
  <si>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</si>
  <si>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</si>
  <si>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</si>
  <si>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</si>
  <si>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</si>
  <si>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</si>
  <si>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</si>
  <si>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</si>
  <si>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</si>
  <si>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</si>
  <si>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</si>
  <si>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</si>
  <si>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</si>
  <si>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</si>
  <si>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</si>
  <si>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</si>
  <si>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</si>
  <si>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</si>
  <si>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</si>
  <si>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</si>
  <si>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</si>
  <si>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</si>
  <si>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</si>
  <si>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</si>
  <si>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</si>
  <si>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</si>
  <si>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</si>
  <si>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</si>
  <si>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</si>
  <si>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</si>
  <si>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</si>
  <si>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</si>
  <si>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</si>
  <si>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</si>
  <si>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</si>
  <si>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</si>
  <si>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</si>
  <si>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</si>
  <si>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</si>
  <si>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</si>
  <si>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</si>
  <si>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</si>
  <si>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</si>
  <si>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</si>
  <si>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</si>
  <si>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</si>
  <si>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</si>
  <si>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</si>
  <si>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</si>
  <si>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</si>
  <si>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</si>
  <si>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</si>
  <si>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</si>
  <si>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</si>
  <si>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</si>
  <si>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</si>
  <si>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</si>
  <si>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</si>
  <si>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</si>
  <si>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</si>
  <si>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</si>
  <si>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</si>
  <si>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</si>
  <si>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</si>
  <si>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</si>
  <si>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</si>
  <si>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</si>
  <si>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</si>
  <si>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</si>
  <si>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</si>
  <si>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</si>
  <si>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</si>
  <si>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</si>
  <si>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</si>
  <si>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</si>
  <si>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</si>
  <si>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</si>
  <si>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</si>
  <si>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</si>
  <si>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</si>
  <si>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</si>
  <si>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</si>
  <si>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</si>
  <si>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</si>
  <si>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</si>
  <si>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</si>
  <si>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</si>
  <si>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</si>
  <si>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</si>
  <si>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</si>
  <si>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</si>
  <si>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</si>
  <si>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</si>
  <si>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</si>
  <si>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</si>
  <si>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</si>
  <si>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</si>
  <si>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</si>
  <si>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</si>
  <si>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</si>
  <si>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</si>
  <si>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</si>
  <si>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</si>
  <si>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</si>
  <si>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</si>
  <si>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</si>
  <si>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</si>
  <si>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</si>
  <si>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</si>
  <si>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</si>
  <si>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</si>
  <si>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</si>
  <si>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</si>
  <si>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</si>
  <si>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</si>
  <si>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</si>
  <si>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</si>
  <si>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</si>
  <si>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</si>
  <si>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</si>
  <si>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</si>
  <si>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</si>
  <si>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</si>
  <si>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</si>
  <si>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</si>
  <si>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</si>
  <si>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</si>
  <si>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</si>
  <si>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</si>
  <si>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</si>
  <si>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</si>
  <si>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</si>
  <si>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</si>
  <si>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</si>
  <si>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</si>
  <si>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</si>
  <si>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прочие расходы (сумма)</t>
  </si>
  <si>
    <t>Неучтённые расходы</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</si>
  <si>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</si>
  <si>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</si>
  <si>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</si>
  <si>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</si>
  <si>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</si>
  <si>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</si>
  <si>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</si>
  <si>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</si>
  <si>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</si>
  <si>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</si>
  <si>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</si>
  <si>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</si>
  <si>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</si>
  <si>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</si>
  <si>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</si>
  <si>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</si>
  <si>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</si>
  <si>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</si>
  <si>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</si>
  <si>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</si>
  <si>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</si>
  <si>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</si>
  <si>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</si>
  <si>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</si>
  <si>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</si>
  <si>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</si>
  <si>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</si>
  <si>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</si>
  <si>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</si>
  <si>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</si>
  <si>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</si>
  <si>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</si>
  <si>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</si>
  <si>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</si>
  <si>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</si>
  <si>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</si>
  <si>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</si>
  <si>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</si>
  <si>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</si>
  <si>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</si>
  <si>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</si>
  <si>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</si>
  <si>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</si>
  <si>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</si>
  <si>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</si>
  <si>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</si>
  <si>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</si>
  <si>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</si>
  <si>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</si>
  <si>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</si>
  <si>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</si>
  <si>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</si>
  <si>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</si>
  <si>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</si>
  <si>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</si>
  <si>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</si>
  <si>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</si>
  <si>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</si>
  <si>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</si>
  <si>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</si>
  <si>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Оплата иных работ и услуг</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</si>
  <si>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</si>
  <si>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</si>
  <si>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</si>
  <si>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</si>
  <si>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</si>
  <si>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</si>
  <si>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</si>
  <si>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</si>
  <si>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</si>
  <si>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</si>
  <si>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</si>
  <si>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</si>
  <si>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</si>
  <si>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</si>
  <si>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</si>
  <si>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</si>
  <si>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</si>
  <si>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</si>
  <si>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</si>
  <si>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</si>
  <si>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</si>
  <si>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</si>
  <si>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</si>
  <si>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</si>
  <si>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</si>
  <si>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</si>
  <si>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</si>
  <si>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</si>
  <si>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</si>
  <si>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</si>
  <si>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</si>
  <si>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</si>
  <si>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</si>
  <si>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</si>
  <si>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</si>
  <si>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</si>
  <si>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</si>
  <si>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</si>
  <si>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</si>
  <si>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</si>
  <si>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</si>
  <si>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</si>
  <si>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</si>
  <si>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</si>
  <si>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</si>
  <si>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</si>
  <si>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</si>
  <si>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</si>
  <si>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</si>
  <si>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</si>
  <si>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</si>
  <si>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</si>
  <si>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</si>
  <si>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</si>
  <si>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</si>
  <si>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</si>
  <si>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</si>
  <si>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</si>
  <si>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</si>
  <si>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</si>
  <si>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</si>
  <si>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</si>
  <si>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</si>
  <si>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</si>
  <si>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</si>
  <si>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</si>
  <si>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</si>
  <si>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</si>
  <si>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</si>
  <si>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</si>
  <si>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</si>
  <si>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</si>
  <si>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</si>
  <si>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</si>
  <si>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</si>
  <si>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</si>
  <si>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</si>
  <si>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</si>
  <si>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</si>
  <si>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</si>
  <si>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</si>
  <si>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</si>
  <si>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</si>
  <si>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</si>
  <si>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</si>
  <si>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</si>
  <si>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</si>
  <si>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</si>
  <si>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</si>
  <si>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</si>
  <si>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</si>
  <si>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</si>
  <si>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</si>
  <si>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</si>
  <si>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</si>
  <si>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</si>
  <si>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</si>
  <si>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</si>
  <si>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</si>
  <si>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</si>
  <si>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</si>
  <si>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</si>
  <si>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</si>
  <si>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</si>
  <si>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</si>
  <si>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</si>
  <si>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</si>
  <si>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</si>
  <si>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</si>
  <si>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</si>
  <si>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</si>
  <si>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</si>
  <si>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</si>
  <si>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</si>
  <si>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</si>
  <si>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</si>
  <si>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</si>
  <si>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</si>
  <si>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</si>
  <si>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</si>
  <si>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</si>
  <si>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</si>
  <si>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</si>
  <si>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</si>
  <si>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</si>
  <si>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</si>
  <si>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</si>
  <si>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</si>
  <si>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</si>
  <si>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</si>
  <si>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</si>
  <si>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</si>
  <si>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</si>
  <si>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</si>
  <si>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</si>
  <si>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</si>
  <si>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</si>
  <si>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</si>
  <si>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</si>
  <si>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</si>
  <si>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</si>
  <si>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</si>
  <si>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</si>
  <si>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</si>
  <si>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</si>
  <si>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</si>
  <si>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</si>
  <si>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</si>
  <si>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</si>
  <si>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</si>
  <si>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</si>
  <si>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</si>
  <si>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</si>
  <si>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</si>
  <si>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</si>
  <si>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</si>
  <si>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</si>
  <si>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</si>
  <si>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</si>
  <si>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</si>
  <si>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</si>
  <si>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</si>
  <si>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</si>
  <si>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</si>
  <si>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</si>
  <si>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</si>
  <si>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</si>
  <si>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</si>
  <si>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</si>
  <si>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</si>
  <si>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</si>
  <si>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</si>
  <si>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</si>
  <si>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</si>
  <si>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</si>
  <si>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</si>
  <si>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</si>
  <si>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</si>
  <si>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</si>
  <si>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</si>
  <si>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</si>
  <si>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</si>
  <si>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</si>
  <si>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</si>
  <si>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</si>
  <si>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</si>
  <si>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</si>
  <si>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</si>
  <si>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</si>
  <si>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</si>
  <si>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</si>
  <si>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</si>
  <si>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</si>
  <si>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</si>
  <si>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</si>
  <si>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</si>
  <si>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</si>
  <si>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</si>
  <si>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</si>
  <si>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</si>
  <si>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</si>
  <si>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</si>
  <si>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</si>
  <si>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</si>
  <si>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</si>
  <si>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</si>
  <si>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</si>
  <si>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</si>
  <si>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</si>
  <si>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</si>
  <si>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</si>
  <si>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</si>
  <si>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</si>
  <si>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</si>
  <si>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</si>
  <si>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</si>
  <si>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</si>
  <si>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</si>
  <si>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</si>
  <si>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</si>
  <si>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</si>
  <si>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</si>
  <si>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</si>
  <si>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</si>
  <si>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</si>
  <si>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</si>
  <si>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</si>
  <si>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</si>
  <si>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</si>
  <si>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</si>
  <si>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</si>
  <si>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</si>
  <si>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</si>
  <si>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</si>
  <si>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</si>
  <si>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</si>
  <si>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</si>
  <si>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</si>
  <si>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</si>
  <si>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</si>
  <si>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</si>
  <si>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</si>
  <si>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</si>
  <si>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</si>
  <si>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</si>
  <si>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</si>
  <si>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</si>
  <si>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</si>
  <si>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</si>
  <si>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</si>
  <si>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</si>
  <si>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</si>
  <si>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</si>
  <si>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</si>
  <si>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</si>
  <si>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</si>
  <si>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</si>
  <si>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</si>
  <si>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</si>
  <si>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</si>
  <si>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</si>
  <si>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</si>
  <si>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</si>
  <si>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</si>
  <si>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</si>
  <si>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</si>
  <si>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</si>
  <si>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</si>
  <si>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</si>
  <si>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</si>
  <si>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</si>
  <si>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</si>
  <si>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</si>
  <si>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</si>
  <si>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</si>
  <si>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</si>
  <si>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</si>
  <si>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</si>
  <si>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</si>
  <si>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</si>
  <si>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</si>
  <si>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</si>
  <si>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</si>
  <si>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</si>
  <si>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</si>
  <si>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</si>
  <si>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</si>
  <si>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</si>
  <si>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</si>
  <si>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</si>
  <si>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</si>
  <si>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</si>
  <si>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</si>
  <si>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</si>
  <si>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</si>
  <si>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</si>
  <si>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</si>
  <si>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</si>
  <si>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</si>
  <si>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</si>
  <si>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</si>
  <si>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</si>
  <si>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</si>
  <si>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</si>
  <si>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</si>
  <si>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</si>
  <si>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</si>
  <si>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</si>
  <si>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</si>
  <si>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</si>
  <si>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</si>
  <si>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</si>
  <si>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</si>
  <si>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</si>
  <si>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</si>
  <si>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</si>
  <si>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</si>
  <si>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</si>
  <si>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</si>
  <si>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</si>
  <si>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</si>
  <si>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</si>
  <si>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</si>
  <si>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</si>
  <si>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</si>
  <si>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</si>
  <si>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</si>
  <si>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</si>
  <si>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</si>
  <si>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</si>
  <si>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</si>
  <si>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</si>
  <si>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</si>
  <si>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</si>
  <si>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</si>
  <si>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</si>
  <si>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</si>
  <si>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</si>
  <si>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</si>
  <si>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</si>
  <si>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</si>
  <si>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</si>
  <si>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</si>
  <si>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</si>
  <si>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</si>
  <si>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</si>
  <si>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</si>
  <si>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</si>
  <si>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</si>
  <si>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</si>
  <si>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</si>
  <si>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</si>
  <si>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</si>
  <si>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</si>
  <si>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</si>
  <si>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</si>
  <si>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</si>
  <si>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</si>
  <si>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</si>
  <si>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</si>
  <si>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</si>
  <si>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</si>
  <si>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</si>
  <si>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</si>
  <si>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</si>
  <si>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</si>
  <si>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</si>
  <si>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</si>
  <si>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</si>
  <si>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</si>
  <si>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</si>
  <si>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</si>
  <si>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</si>
  <si>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</si>
  <si>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</si>
  <si>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</si>
  <si>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</si>
  <si>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</si>
  <si>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</si>
  <si>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</si>
  <si>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</si>
  <si>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</si>
  <si>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</si>
  <si>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</si>
  <si>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</si>
  <si>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</si>
  <si>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</si>
  <si>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</si>
  <si>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</si>
  <si>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</si>
  <si>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</si>
  <si>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</si>
  <si>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</si>
  <si>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</si>
  <si>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</si>
  <si>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</si>
  <si>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</si>
  <si>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</si>
  <si>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</si>
  <si>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</si>
  <si>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</si>
  <si>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</si>
  <si>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</si>
  <si>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</si>
  <si>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</si>
  <si>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</si>
  <si>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</si>
  <si>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</si>
  <si>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</si>
  <si>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</si>
  <si>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</si>
  <si>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</si>
  <si>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</si>
  <si>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</si>
  <si>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</si>
  <si>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</si>
  <si>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</si>
  <si>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</si>
  <si>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</si>
  <si>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</si>
  <si>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</si>
  <si>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</si>
  <si>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</si>
  <si>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</si>
  <si>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</si>
  <si>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</si>
  <si>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</si>
  <si>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</si>
  <si>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</si>
  <si>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</si>
  <si>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</si>
  <si>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</si>
  <si>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</si>
  <si>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</si>
  <si>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</si>
  <si>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</si>
  <si>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</si>
  <si>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</si>
  <si>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</si>
  <si>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</si>
  <si>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</si>
  <si>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</si>
  <si>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</si>
  <si>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</si>
  <si>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</si>
  <si>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</si>
  <si>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</si>
  <si>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</si>
  <si>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</si>
  <si>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</si>
  <si>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</si>
  <si>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</si>
  <si>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</si>
  <si>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</si>
  <si>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</si>
  <si>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</si>
  <si>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</si>
  <si>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</si>
  <si>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</si>
  <si>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</si>
  <si>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</si>
  <si>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</si>
  <si>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расходы на компенсацию потерь</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</si>
  <si>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</si>
  <si>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</si>
  <si>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</si>
  <si>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</si>
  <si>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</si>
  <si>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</si>
  <si>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</si>
  <si>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</si>
  <si>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</si>
  <si>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</si>
  <si>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</si>
  <si>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</si>
  <si>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</si>
  <si>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</si>
  <si>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</si>
  <si>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</si>
  <si>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</si>
  <si>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</si>
  <si>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</si>
  <si>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</si>
  <si>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</si>
  <si>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</si>
  <si>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</si>
  <si>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</si>
  <si>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</si>
  <si>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</si>
  <si>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</si>
  <si>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</si>
  <si>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</si>
  <si>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</si>
  <si>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</si>
  <si>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</si>
  <si>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</si>
  <si>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</si>
  <si>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</si>
  <si>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</si>
  <si>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</si>
  <si>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</si>
  <si>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</si>
  <si>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</si>
  <si>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</si>
  <si>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</si>
  <si>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</si>
  <si>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</si>
  <si>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</si>
  <si>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</si>
  <si>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</si>
  <si>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</si>
  <si>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</si>
  <si>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</si>
  <si>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</si>
  <si>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</si>
  <si>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</si>
  <si>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</si>
  <si>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</si>
  <si>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</si>
  <si>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</si>
  <si>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</si>
  <si>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</si>
  <si>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</si>
  <si>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</si>
  <si>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</si>
  <si>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</si>
  <si>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</si>
  <si>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</si>
  <si>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</si>
  <si>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</si>
  <si>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</si>
  <si>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</si>
  <si>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</si>
  <si>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</si>
  <si>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</si>
  <si>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</si>
  <si>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</si>
  <si>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</si>
  <si>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</si>
  <si>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</si>
  <si>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</si>
  <si>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</si>
  <si>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</si>
  <si>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</si>
  <si>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</si>
  <si>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</si>
  <si>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</si>
  <si>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</si>
  <si>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</si>
  <si>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</si>
  <si>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</si>
  <si>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</si>
  <si>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</si>
  <si>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</si>
  <si>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</si>
  <si>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</si>
  <si>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</si>
  <si>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</si>
  <si>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</si>
  <si>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</si>
  <si>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</si>
  <si>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</si>
  <si>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</si>
  <si>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</si>
  <si>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</si>
  <si>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</si>
  <si>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</si>
  <si>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</si>
  <si>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</si>
  <si>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</si>
  <si>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</si>
  <si>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</si>
  <si>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</si>
  <si>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</si>
  <si>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</si>
  <si>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</si>
  <si>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</si>
  <si>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</si>
  <si>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</si>
  <si>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</si>
  <si>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</si>
  <si>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</si>
  <si>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</si>
  <si>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</si>
  <si>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</si>
  <si>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</si>
  <si>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</si>
  <si>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</si>
  <si>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</si>
  <si>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</si>
  <si>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</si>
  <si>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</si>
  <si>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</si>
  <si>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</si>
  <si>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</si>
  <si>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</si>
  <si>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</si>
  <si>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</si>
  <si>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</si>
  <si>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</si>
  <si>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</si>
  <si>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</si>
  <si>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</si>
  <si>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</si>
  <si>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</si>
  <si>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</si>
  <si>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</si>
  <si>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</si>
  <si>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</si>
  <si>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</si>
  <si>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</si>
  <si>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</si>
  <si>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</si>
  <si>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</si>
  <si>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</si>
  <si>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</si>
  <si>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</si>
  <si>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</si>
  <si>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</si>
  <si>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</si>
  <si>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</si>
  <si>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</si>
  <si>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</si>
  <si>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</si>
  <si>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</si>
  <si>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</si>
  <si>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</si>
  <si>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</si>
  <si>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</si>
  <si>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</si>
  <si>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</si>
  <si>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</si>
  <si>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</si>
  <si>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</si>
  <si>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</si>
  <si>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</si>
  <si>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</si>
  <si>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</si>
  <si>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</si>
  <si>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</si>
  <si>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</si>
  <si>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</si>
  <si>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</si>
  <si>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</si>
  <si>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</si>
  <si>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</si>
  <si>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</si>
  <si>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</si>
  <si>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</si>
  <si>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</si>
  <si>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</si>
  <si>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</si>
  <si>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</si>
  <si>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</si>
  <si>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</si>
  <si>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</si>
  <si>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</si>
  <si>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</si>
  <si>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</si>
  <si>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</si>
  <si>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</si>
  <si>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</si>
  <si>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</si>
  <si>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</si>
  <si>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</si>
  <si>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</si>
  <si>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</si>
  <si>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</si>
  <si>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</si>
  <si>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</si>
  <si>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</si>
  <si>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</si>
  <si>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</si>
  <si>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</si>
  <si>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</si>
  <si>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</si>
  <si>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</si>
  <si>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</si>
  <si>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</si>
  <si>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</si>
  <si>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</si>
  <si>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</si>
  <si>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</si>
  <si>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</si>
  <si>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</si>
  <si>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</si>
  <si>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</si>
  <si>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</si>
  <si>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</si>
  <si>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</si>
  <si>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</si>
  <si>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</si>
  <si>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</si>
  <si>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</si>
  <si>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</si>
  <si>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</si>
  <si>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</si>
  <si>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</si>
  <si>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</si>
  <si>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</si>
  <si>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</si>
  <si>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</si>
  <si>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</si>
  <si>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</si>
  <si>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</si>
  <si>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</si>
  <si>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</si>
  <si>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</si>
  <si>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</si>
  <si>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</si>
  <si>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</si>
  <si>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</si>
  <si>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</si>
  <si>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</si>
  <si>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</si>
  <si>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</si>
  <si>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</si>
  <si>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</si>
  <si>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</si>
  <si>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</si>
  <si>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</si>
  <si>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</si>
  <si>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</si>
  <si>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</si>
  <si>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</si>
  <si>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</si>
  <si>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</si>
  <si>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</si>
  <si>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</si>
  <si>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</si>
  <si>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</si>
  <si>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</si>
  <si>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</si>
  <si>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</si>
  <si>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</si>
  <si>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</si>
  <si>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</si>
  <si>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</si>
  <si>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</si>
  <si>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</si>
  <si>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</si>
  <si>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</si>
  <si>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</si>
  <si>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</si>
  <si>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</si>
  <si>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</si>
  <si>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</si>
  <si>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</si>
  <si>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</si>
  <si>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</si>
  <si>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</si>
  <si>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</si>
  <si>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</si>
  <si>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</si>
  <si>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</si>
  <si>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</si>
  <si>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</si>
  <si>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</si>
  <si>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</si>
  <si>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</si>
  <si>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</si>
  <si>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</si>
  <si>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</si>
  <si>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</si>
  <si>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</si>
  <si>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</si>
  <si>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</si>
  <si>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</si>
  <si>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</si>
  <si>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</si>
  <si>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</si>
  <si>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</si>
  <si>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</si>
  <si>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</si>
  <si>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</si>
  <si>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</si>
  <si>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</si>
  <si>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</si>
  <si>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</si>
  <si>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</si>
  <si>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</si>
  <si>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</si>
  <si>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</si>
  <si>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</si>
  <si>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</si>
  <si>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</si>
  <si>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</si>
  <si>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</si>
  <si>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</si>
  <si>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</si>
  <si>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</si>
  <si>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</si>
  <si>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</si>
  <si>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</si>
  <si>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</si>
  <si>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</si>
  <si>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</si>
  <si>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</si>
  <si>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</si>
  <si>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</si>
  <si>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</si>
  <si>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</si>
  <si>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</si>
  <si>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</si>
  <si>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</si>
  <si>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</si>
  <si>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</si>
  <si>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</si>
  <si>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</si>
  <si>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</si>
  <si>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</si>
  <si>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</si>
  <si>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</si>
  <si>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</si>
  <si>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</si>
  <si>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</si>
  <si>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</si>
  <si>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</si>
  <si>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</si>
  <si>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</si>
  <si>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</si>
  <si>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</si>
  <si>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</si>
  <si>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</si>
  <si>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</si>
  <si>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</si>
  <si>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</si>
  <si>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</si>
  <si>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</si>
  <si>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</si>
  <si>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</si>
  <si>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</si>
  <si>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</si>
  <si>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</si>
  <si>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</si>
  <si>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</si>
  <si>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</si>
  <si>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</si>
  <si>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</si>
  <si>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</si>
  <si>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</si>
  <si>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</si>
  <si>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</si>
  <si>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</si>
  <si>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</si>
  <si>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</si>
  <si>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</si>
  <si>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</si>
  <si>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</si>
  <si>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</si>
  <si>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</si>
  <si>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</si>
  <si>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</si>
  <si>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</si>
  <si>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</si>
  <si>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</si>
  <si>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</si>
  <si>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</si>
  <si>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</si>
  <si>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</si>
  <si>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</si>
  <si>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</si>
  <si>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</si>
  <si>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</si>
  <si>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</si>
  <si>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</si>
  <si>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</si>
  <si>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</si>
  <si>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</si>
  <si>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</si>
  <si>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</si>
  <si>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</si>
  <si>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</si>
  <si>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</si>
  <si>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</si>
  <si>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</si>
  <si>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</si>
  <si>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</si>
  <si>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</si>
  <si>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</si>
  <si>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</si>
  <si>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</si>
  <si>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</si>
  <si>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</si>
  <si>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</si>
  <si>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</si>
  <si>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</si>
  <si>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</si>
  <si>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</si>
  <si>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</si>
  <si>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</si>
  <si>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</si>
  <si>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</si>
  <si>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</si>
  <si>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</si>
  <si>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</si>
  <si>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</si>
  <si>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</si>
  <si>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</si>
  <si>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</si>
  <si>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</si>
  <si>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</si>
  <si>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</si>
  <si>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</si>
  <si>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</si>
  <si>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</si>
  <si>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</si>
  <si>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</si>
  <si>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</si>
  <si>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</si>
  <si>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</si>
  <si>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</si>
  <si>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</si>
  <si>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</si>
  <si>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</si>
  <si>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</si>
  <si>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</si>
  <si>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</si>
  <si>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</si>
  <si>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</si>
  <si>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</si>
  <si>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</si>
  <si>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</si>
  <si>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</si>
  <si>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</si>
  <si>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</si>
  <si>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</si>
  <si>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</si>
  <si>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</si>
  <si>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</si>
  <si>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</si>
  <si>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</si>
  <si>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</si>
  <si>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</si>
  <si>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</si>
  <si>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</si>
  <si>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</si>
  <si>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</si>
  <si>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</si>
  <si>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</si>
  <si>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</si>
  <si>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</si>
  <si>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</si>
  <si>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</si>
  <si>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</si>
  <si>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</si>
  <si>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</si>
  <si>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</si>
  <si>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</si>
  <si>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</si>
  <si>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</si>
  <si>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</si>
  <si>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</si>
  <si>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</si>
  <si>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</si>
  <si>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</si>
  <si>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</si>
  <si>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</si>
  <si>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</si>
  <si>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</si>
  <si>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</si>
  <si>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</si>
  <si>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</si>
  <si>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</si>
  <si>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</si>
  <si>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</si>
  <si>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</si>
  <si>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</si>
  <si>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</si>
  <si>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</si>
  <si>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</si>
  <si>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</si>
  <si>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</si>
  <si>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</si>
  <si>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</si>
  <si>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</si>
  <si>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</si>
  <si>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</si>
  <si>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</si>
  <si>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</si>
  <si>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</si>
  <si>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</si>
  <si>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</si>
  <si>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</si>
  <si>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</si>
  <si>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</si>
  <si>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</si>
  <si>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</si>
  <si>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</si>
  <si>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</si>
  <si>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</si>
  <si>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</si>
  <si>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</si>
  <si>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</si>
  <si>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</si>
  <si>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</si>
  <si>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</si>
  <si>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</si>
  <si>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</si>
  <si>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</si>
  <si>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</si>
  <si>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</si>
  <si>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</si>
  <si>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</si>
  <si>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</si>
  <si>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</si>
  <si>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</si>
  <si>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</si>
  <si>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</si>
  <si>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</si>
  <si>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</si>
  <si>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</si>
  <si>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</si>
  <si>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</si>
  <si>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</si>
  <si>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</si>
  <si>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</si>
  <si>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</si>
  <si>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</si>
  <si>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</si>
  <si>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</si>
  <si>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</si>
  <si>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</si>
  <si>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</si>
  <si>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</si>
  <si>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</si>
  <si>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</si>
  <si>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</si>
  <si>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</si>
  <si>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постановление</t>
  </si>
  <si>
    <t>Газ сухой отбензиненный</t>
  </si>
  <si>
    <t>Калужская область</t>
  </si>
  <si>
    <t>RU40</t>
  </si>
  <si>
    <t>вода+пар</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</si>
  <si>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</si>
  <si>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</si>
  <si>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</si>
  <si>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</si>
  <si>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</si>
  <si>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</si>
  <si>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</si>
  <si>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</si>
  <si>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</si>
  <si>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</si>
  <si>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Дизельное топливо - А (арктическое)</t>
  </si>
  <si>
    <t>Кемеровская область</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</si>
  <si>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</si>
  <si>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</si>
  <si>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</si>
  <si>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</si>
  <si>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</si>
  <si>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</si>
  <si>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</si>
  <si>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</si>
  <si>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</si>
  <si>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</si>
  <si>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</si>
  <si>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</si>
  <si>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</si>
  <si>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</si>
  <si>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</si>
  <si>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</si>
  <si>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</si>
  <si>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</si>
  <si>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</si>
  <si>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</si>
  <si>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</si>
  <si>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</si>
  <si>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</si>
  <si>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</si>
  <si>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</si>
  <si>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</si>
  <si>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</si>
  <si>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</si>
  <si>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</si>
  <si>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</si>
  <si>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</si>
  <si>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</si>
  <si>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</si>
  <si>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</si>
  <si>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</si>
  <si>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</si>
  <si>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</si>
  <si>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</si>
  <si>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</si>
  <si>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</si>
  <si>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</si>
  <si>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</si>
  <si>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</si>
  <si>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</si>
  <si>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</si>
  <si>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</si>
  <si>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</si>
  <si>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</si>
  <si>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</si>
  <si>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</si>
  <si>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</si>
  <si>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</si>
  <si>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</si>
  <si>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</si>
  <si>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</si>
  <si>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</si>
  <si>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</si>
  <si>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</si>
  <si>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</si>
  <si>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</si>
  <si>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</si>
  <si>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</si>
  <si>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</si>
  <si>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</si>
  <si>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</si>
  <si>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</si>
  <si>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</si>
  <si>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</si>
  <si>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</si>
  <si>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</si>
  <si>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</si>
  <si>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</si>
  <si>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</si>
  <si>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</si>
  <si>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</si>
  <si>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</si>
  <si>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</si>
  <si>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</si>
  <si>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</si>
  <si>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</si>
  <si>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</si>
  <si>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</si>
  <si>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</si>
  <si>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</si>
  <si>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</si>
  <si>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</si>
  <si>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</si>
  <si>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</si>
  <si>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</si>
  <si>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</si>
  <si>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</si>
  <si>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</si>
  <si>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</si>
  <si>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</si>
  <si>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</si>
  <si>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</si>
  <si>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</si>
  <si>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</si>
  <si>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</si>
  <si>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</si>
  <si>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</si>
  <si>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</si>
  <si>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</si>
  <si>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</si>
  <si>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</si>
  <si>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</si>
  <si>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</si>
  <si>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</si>
  <si>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</si>
  <si>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</si>
  <si>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</si>
  <si>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</si>
  <si>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</si>
  <si>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</si>
  <si>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</si>
  <si>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</si>
  <si>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</si>
  <si>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</si>
  <si>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</si>
  <si>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</si>
  <si>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</si>
  <si>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</si>
  <si>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</si>
  <si>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</si>
  <si>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</si>
  <si>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</si>
  <si>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</si>
  <si>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</si>
  <si>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</si>
  <si>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</si>
  <si>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</si>
  <si>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</si>
  <si>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</si>
  <si>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</si>
  <si>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</si>
  <si>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</si>
  <si>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</si>
  <si>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</si>
  <si>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</si>
  <si>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</si>
  <si>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</si>
  <si>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</si>
  <si>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</si>
  <si>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</si>
  <si>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</si>
  <si>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</si>
  <si>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</si>
  <si>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</si>
  <si>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</si>
  <si>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</si>
  <si>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</si>
  <si>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</si>
  <si>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</si>
  <si>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</si>
  <si>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</si>
  <si>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</si>
  <si>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</si>
  <si>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</si>
  <si>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</si>
  <si>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</si>
  <si>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</si>
  <si>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</si>
  <si>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</si>
  <si>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</si>
  <si>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</si>
  <si>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</si>
  <si>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</si>
  <si>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</si>
  <si>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</si>
  <si>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</si>
  <si>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</si>
  <si>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</si>
  <si>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</si>
  <si>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</si>
  <si>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</si>
  <si>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</si>
  <si>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</si>
  <si>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</si>
  <si>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</si>
  <si>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</si>
  <si>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</si>
  <si>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</si>
  <si>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</si>
  <si>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</si>
  <si>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</si>
  <si>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</si>
  <si>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</si>
  <si>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</si>
  <si>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</si>
  <si>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</si>
  <si>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</si>
  <si>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</si>
  <si>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</si>
  <si>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</si>
  <si>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</si>
  <si>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</si>
  <si>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</si>
  <si>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</si>
  <si>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</si>
  <si>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</si>
  <si>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</si>
  <si>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</si>
  <si>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</si>
  <si>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</si>
  <si>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</si>
  <si>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</si>
  <si>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</si>
  <si>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</si>
  <si>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</si>
  <si>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</si>
  <si>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</si>
  <si>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</si>
  <si>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</si>
  <si>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</si>
  <si>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</si>
  <si>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</si>
  <si>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</si>
  <si>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</si>
  <si>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</si>
  <si>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</si>
  <si>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</si>
  <si>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</si>
  <si>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</si>
  <si>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</si>
  <si>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</si>
  <si>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</si>
  <si>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</si>
  <si>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</si>
  <si>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</si>
  <si>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</si>
  <si>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</si>
  <si>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</si>
  <si>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</si>
  <si>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</si>
  <si>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</si>
  <si>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</si>
  <si>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</si>
  <si>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</si>
  <si>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</si>
  <si>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</si>
  <si>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</si>
  <si>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</si>
  <si>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</si>
  <si>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</si>
  <si>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</si>
  <si>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</si>
  <si>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</si>
  <si>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</si>
  <si>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</si>
  <si>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</si>
  <si>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</si>
  <si>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</si>
  <si>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</si>
  <si>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</si>
  <si>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</si>
  <si>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</si>
  <si>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</si>
  <si>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</si>
  <si>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</si>
  <si>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</si>
  <si>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</si>
  <si>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</si>
  <si>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</si>
  <si>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</si>
  <si>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</si>
  <si>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</si>
  <si>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</si>
  <si>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</si>
  <si>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</si>
  <si>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</si>
  <si>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</si>
  <si>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</si>
  <si>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</si>
  <si>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</si>
  <si>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</si>
  <si>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</si>
  <si>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</si>
  <si>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</si>
  <si>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</si>
  <si>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</si>
  <si>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</si>
  <si>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</si>
  <si>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</si>
  <si>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</si>
  <si>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</si>
  <si>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</si>
  <si>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</si>
  <si>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</si>
  <si>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</si>
  <si>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</si>
  <si>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</si>
  <si>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</si>
  <si>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</si>
  <si>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</si>
  <si>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</si>
  <si>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</si>
  <si>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</si>
  <si>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</si>
  <si>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</si>
  <si>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</si>
  <si>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</si>
  <si>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</si>
  <si>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</si>
  <si>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</si>
  <si>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</si>
  <si>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</si>
  <si>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</si>
  <si>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</si>
  <si>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</si>
  <si>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</si>
  <si>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</si>
  <si>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</si>
  <si>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</si>
  <si>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</si>
  <si>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</si>
  <si>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</si>
  <si>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</si>
  <si>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</si>
  <si>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</si>
  <si>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</si>
  <si>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</si>
  <si>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</si>
  <si>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</si>
  <si>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</si>
  <si>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</si>
  <si>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</si>
  <si>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</si>
  <si>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</si>
  <si>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</si>
  <si>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</si>
  <si>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</si>
  <si>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</si>
  <si>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</si>
  <si>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</si>
  <si>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</si>
  <si>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</si>
  <si>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</si>
  <si>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</si>
  <si>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</si>
  <si>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</si>
  <si>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</si>
  <si>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</si>
  <si>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</si>
  <si>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</si>
  <si>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</si>
  <si>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</si>
  <si>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</si>
  <si>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</si>
  <si>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</si>
  <si>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</si>
  <si>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</si>
  <si>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</si>
  <si>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</si>
  <si>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</si>
  <si>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</si>
  <si>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</si>
  <si>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</si>
  <si>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</si>
  <si>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</si>
  <si>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</si>
  <si>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</si>
  <si>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</si>
  <si>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</si>
  <si>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</si>
  <si>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</si>
  <si>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</si>
  <si>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</si>
  <si>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</si>
  <si>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</si>
  <si>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</si>
  <si>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</si>
  <si>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</si>
  <si>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</si>
  <si>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</si>
  <si>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</si>
  <si>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</si>
  <si>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</si>
  <si>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</si>
  <si>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</si>
  <si>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</si>
  <si>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</si>
  <si>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</si>
  <si>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</si>
  <si>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</si>
  <si>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</si>
  <si>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</si>
  <si>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8343940169.0000000000</t>
  </si>
  <si>
    <t>комбинированное, менее 25 МВт</t>
  </si>
  <si>
    <t>г Димитровград</t>
  </si>
  <si>
    <t>73705000001</t>
  </si>
  <si>
    <t>ш. Речное</t>
  </si>
  <si>
    <t>406.0000000000</t>
  </si>
  <si>
    <t>390.9900000000</t>
  </si>
  <si>
    <t>открытая</t>
  </si>
  <si>
    <t>[Газ природный]</t>
  </si>
  <si>
    <t>[173,42]</t>
  </si>
  <si>
    <t>[174,36]</t>
  </si>
  <si>
    <t>[нет]</t>
  </si>
  <si>
    <t>круглогодичный</t>
  </si>
  <si>
    <t>75.0000000000</t>
  </si>
  <si>
    <t>23.03.1961</t>
  </si>
  <si>
    <t>40.1100000000</t>
  </si>
  <si>
    <t>магистральная и разводящая</t>
  </si>
  <si>
    <t>двухтрубные сети</t>
  </si>
  <si>
    <t>двухтрубное исполнение</t>
  </si>
  <si>
    <t>66.9800000000</t>
  </si>
  <si>
    <t>31.6500000000</t>
  </si>
  <si>
    <t>19.0900000000</t>
  </si>
  <si>
    <t>10.7200000000</t>
  </si>
  <si>
    <t>5.5200000000</t>
  </si>
  <si>
    <t>0.0000000000</t>
  </si>
  <si>
    <t>7.9300000000</t>
  </si>
  <si>
    <t>0.9100000000</t>
  </si>
  <si>
    <t>3.6000000000</t>
  </si>
  <si>
    <t>3.2200000000</t>
  </si>
  <si>
    <t>0.2000000000</t>
  </si>
  <si>
    <t>56.0500000000</t>
  </si>
  <si>
    <t>27.7400000000</t>
  </si>
  <si>
    <t>15.4900000000</t>
  </si>
  <si>
    <t>7.5000000000</t>
  </si>
  <si>
    <t>5.3200000000</t>
  </si>
  <si>
    <t>3.0000000000</t>
  </si>
  <si>
    <t>80.0000000000</t>
  </si>
  <si>
    <t>эксплуатируется</t>
  </si>
  <si>
    <t>частная собственность</t>
  </si>
  <si>
    <t>https://portal.eias.ru/Portal/DownloadPage.aspx?type=12&amp;guid=13eb87aa-9fde-422b-ac27-5fe7a0d24b3b</t>
  </si>
  <si>
    <t>0</t>
  </si>
  <si>
    <t>mrName</t>
  </si>
  <si>
    <t>moName</t>
  </si>
  <si>
    <t>oktmo</t>
  </si>
  <si>
    <t>Базарносызганский муниципальный округ</t>
  </si>
  <si>
    <t>73502000</t>
  </si>
  <si>
    <t>Павловский муниципальный округ</t>
  </si>
  <si>
    <t>73532000</t>
  </si>
  <si>
    <t>Старомайнский муниципальный округ</t>
  </si>
  <si>
    <t>73542000</t>
  </si>
  <si>
    <t>Базарносызганский муниципальный район</t>
  </si>
  <si>
    <t>Базарносызганское городское поселение</t>
  </si>
  <si>
    <t>73602151</t>
  </si>
  <si>
    <t>Сосновоборское</t>
  </si>
  <si>
    <t>73602405</t>
  </si>
  <si>
    <t>Должниковское</t>
  </si>
  <si>
    <t>73602408</t>
  </si>
  <si>
    <t>Лапшаурское</t>
  </si>
  <si>
    <t>73602412</t>
  </si>
  <si>
    <t>Папузинское</t>
  </si>
  <si>
    <t>73602425</t>
  </si>
  <si>
    <t>Барышский муниципальный район</t>
  </si>
  <si>
    <t>Барышское городское поселение</t>
  </si>
  <si>
    <t>73604101</t>
  </si>
  <si>
    <t>Жадовское городское поселение</t>
  </si>
  <si>
    <t>73604152</t>
  </si>
  <si>
    <t>Измайловское городское поселение</t>
  </si>
  <si>
    <t>73604154</t>
  </si>
  <si>
    <t>Ленинское городское поселение</t>
  </si>
  <si>
    <t>73604156</t>
  </si>
  <si>
    <t>Старотимошкинское городское поселение</t>
  </si>
  <si>
    <t>73604158</t>
  </si>
  <si>
    <t>Живайкинское</t>
  </si>
  <si>
    <t>73604420</t>
  </si>
  <si>
    <t>Земляничненское</t>
  </si>
  <si>
    <t>73604432</t>
  </si>
  <si>
    <t>Малохомутерское</t>
  </si>
  <si>
    <t>73604450</t>
  </si>
  <si>
    <t>Поливановское</t>
  </si>
  <si>
    <t>73604475</t>
  </si>
  <si>
    <t>Вешкаймский муниципальный район</t>
  </si>
  <si>
    <t>Вешкаймское городское поселение</t>
  </si>
  <si>
    <t>73607151</t>
  </si>
  <si>
    <t>Чуфаровское городское поселение</t>
  </si>
  <si>
    <t>73607158</t>
  </si>
  <si>
    <t>Бекетовское</t>
  </si>
  <si>
    <t>73607410</t>
  </si>
  <si>
    <t>Ермоловское</t>
  </si>
  <si>
    <t>73607440</t>
  </si>
  <si>
    <t>Каргинское</t>
  </si>
  <si>
    <t>73607450</t>
  </si>
  <si>
    <t>Стемасское</t>
  </si>
  <si>
    <t>73607480</t>
  </si>
  <si>
    <t>Инзенский муниципальный район</t>
  </si>
  <si>
    <t>Инзенское городское поселение</t>
  </si>
  <si>
    <t>73610101</t>
  </si>
  <si>
    <t>Глотовское городское поселение</t>
  </si>
  <si>
    <t>73610158</t>
  </si>
  <si>
    <t>Валгусское</t>
  </si>
  <si>
    <t>73610425</t>
  </si>
  <si>
    <t>Коржевское</t>
  </si>
  <si>
    <t>73610445</t>
  </si>
  <si>
    <t>Оськинское</t>
  </si>
  <si>
    <t>73610455</t>
  </si>
  <si>
    <t>Сюксюмское</t>
  </si>
  <si>
    <t>73610475</t>
  </si>
  <si>
    <t>Труслейское</t>
  </si>
  <si>
    <t>73610480</t>
  </si>
  <si>
    <t>Черемушкинское</t>
  </si>
  <si>
    <t>73610487</t>
  </si>
  <si>
    <t>Карсунский муниципальный район</t>
  </si>
  <si>
    <t>Карсунское городское поселение</t>
  </si>
  <si>
    <t>73614151</t>
  </si>
  <si>
    <t>Языковское городское поселение</t>
  </si>
  <si>
    <t>73614158</t>
  </si>
  <si>
    <t>Большепоселковское</t>
  </si>
  <si>
    <t>73614425</t>
  </si>
  <si>
    <t>Вальдиватское</t>
  </si>
  <si>
    <t>73614430</t>
  </si>
  <si>
    <t>Новопогореловское</t>
  </si>
  <si>
    <t>73614450</t>
  </si>
  <si>
    <t>Сосновское</t>
  </si>
  <si>
    <t>73614455</t>
  </si>
  <si>
    <t>Горенское</t>
  </si>
  <si>
    <t>73614470</t>
  </si>
  <si>
    <t>Урено-Карлинское</t>
  </si>
  <si>
    <t>73614480</t>
  </si>
  <si>
    <t>Кузоватовский муниципальный район</t>
  </si>
  <si>
    <t>Кузоватовское городское поселение</t>
  </si>
  <si>
    <t>73616151</t>
  </si>
  <si>
    <t>Безводовское</t>
  </si>
  <si>
    <t>73616410</t>
  </si>
  <si>
    <t>Еделевское</t>
  </si>
  <si>
    <t>73616420</t>
  </si>
  <si>
    <t>Коромысловское</t>
  </si>
  <si>
    <t>73616430</t>
  </si>
  <si>
    <t>Лесоматюнинское</t>
  </si>
  <si>
    <t>73616445</t>
  </si>
  <si>
    <t>Спешневское</t>
  </si>
  <si>
    <t>73616465</t>
  </si>
  <si>
    <t>Майнский муниципальный район</t>
  </si>
  <si>
    <t>Майнское городское поселение</t>
  </si>
  <si>
    <t>73620151</t>
  </si>
  <si>
    <t>Игнатовское городское поселение</t>
  </si>
  <si>
    <t>73620158</t>
  </si>
  <si>
    <t>Анненковское</t>
  </si>
  <si>
    <t>73620415</t>
  </si>
  <si>
    <t>Выровское</t>
  </si>
  <si>
    <t>73620420</t>
  </si>
  <si>
    <t>Гимовское</t>
  </si>
  <si>
    <t>73620455</t>
  </si>
  <si>
    <t>Старомаклаушинское</t>
  </si>
  <si>
    <t>73620460</t>
  </si>
  <si>
    <t>Тагайское</t>
  </si>
  <si>
    <t>73620470</t>
  </si>
  <si>
    <t>Мелекесский муниципальный район</t>
  </si>
  <si>
    <t>Мулловское городское поселение</t>
  </si>
  <si>
    <t>73622153</t>
  </si>
  <si>
    <t>Новомайнское городское поселение</t>
  </si>
  <si>
    <t>73622160</t>
  </si>
  <si>
    <t>Новоселкинское</t>
  </si>
  <si>
    <t>73622425</t>
  </si>
  <si>
    <t>Лебяжинское</t>
  </si>
  <si>
    <t>73622430</t>
  </si>
  <si>
    <t>Николочеремшанское</t>
  </si>
  <si>
    <t>73622441</t>
  </si>
  <si>
    <t>Рязановское</t>
  </si>
  <si>
    <t>73622456</t>
  </si>
  <si>
    <t>Старосахчинское</t>
  </si>
  <si>
    <t>73622460</t>
  </si>
  <si>
    <t>Тиинское</t>
  </si>
  <si>
    <t>73622465</t>
  </si>
  <si>
    <t>Николаевский муниципальный район</t>
  </si>
  <si>
    <t>Николаевское городское поселение</t>
  </si>
  <si>
    <t>73625151</t>
  </si>
  <si>
    <t>Барановское</t>
  </si>
  <si>
    <t>73625415</t>
  </si>
  <si>
    <t>Головинское</t>
  </si>
  <si>
    <t>73625425</t>
  </si>
  <si>
    <t>Дубровское</t>
  </si>
  <si>
    <t>73625435</t>
  </si>
  <si>
    <t>Канадейское</t>
  </si>
  <si>
    <t>73625439</t>
  </si>
  <si>
    <t>Никулинское</t>
  </si>
  <si>
    <t>73625445</t>
  </si>
  <si>
    <t>Поспеловское</t>
  </si>
  <si>
    <t>73625455</t>
  </si>
  <si>
    <t>Славкинское</t>
  </si>
  <si>
    <t>73625465</t>
  </si>
  <si>
    <t>Сухотерешанское</t>
  </si>
  <si>
    <t>73625470</t>
  </si>
  <si>
    <t>Новомалыклинский муниципальный район</t>
  </si>
  <si>
    <t>Высококолковское</t>
  </si>
  <si>
    <t>73627420</t>
  </si>
  <si>
    <t>Новомалыклинское</t>
  </si>
  <si>
    <t>73627450</t>
  </si>
  <si>
    <t>Новочеремшанское</t>
  </si>
  <si>
    <t>73627452</t>
  </si>
  <si>
    <t>Среднесантимирское сельское поселение</t>
  </si>
  <si>
    <t>73627460</t>
  </si>
  <si>
    <t>Среднеякушкинское</t>
  </si>
  <si>
    <t>73627462</t>
  </si>
  <si>
    <t>Новоспасский муниципальный район</t>
  </si>
  <si>
    <t>Новоспасское городское поселение</t>
  </si>
  <si>
    <t>73629151</t>
  </si>
  <si>
    <t>Коптевское</t>
  </si>
  <si>
    <t>73629410</t>
  </si>
  <si>
    <t>Красносельское</t>
  </si>
  <si>
    <t>73629440</t>
  </si>
  <si>
    <t>Садовское</t>
  </si>
  <si>
    <t>73629450</t>
  </si>
  <si>
    <t>Троицкосунгурское</t>
  </si>
  <si>
    <t>73629480</t>
  </si>
  <si>
    <t>Фабричновыселковское</t>
  </si>
  <si>
    <t>73629485</t>
  </si>
  <si>
    <t>Павловский муниципальный район</t>
  </si>
  <si>
    <t>Павловское городское поселение</t>
  </si>
  <si>
    <t>73632151</t>
  </si>
  <si>
    <t>Баклушинское</t>
  </si>
  <si>
    <t>73632405</t>
  </si>
  <si>
    <t>Пичеурское</t>
  </si>
  <si>
    <t>73632425</t>
  </si>
  <si>
    <t>Шмалакское</t>
  </si>
  <si>
    <t>73632435</t>
  </si>
  <si>
    <t>Холстовское</t>
  </si>
  <si>
    <t>73632440</t>
  </si>
  <si>
    <t>Шаховское</t>
  </si>
  <si>
    <t>73632450</t>
  </si>
  <si>
    <t>Радищевский муниципальный район</t>
  </si>
  <si>
    <t>Радищевское городское поселение</t>
  </si>
  <si>
    <t>73634151</t>
  </si>
  <si>
    <t>Дмитриевское</t>
  </si>
  <si>
    <t>73634420</t>
  </si>
  <si>
    <t>Калиновское</t>
  </si>
  <si>
    <t>73634425</t>
  </si>
  <si>
    <t>Октябрьское</t>
  </si>
  <si>
    <t>73634440</t>
  </si>
  <si>
    <t>Ореховское</t>
  </si>
  <si>
    <t>73634445</t>
  </si>
  <si>
    <t>Сенгилеевский муниципальный район</t>
  </si>
  <si>
    <t>Сенгилеевское городское поселение</t>
  </si>
  <si>
    <t>73636101</t>
  </si>
  <si>
    <t>Красногуляевское городское поселение</t>
  </si>
  <si>
    <t>73636153</t>
  </si>
  <si>
    <t>Силикатненское городское поселение</t>
  </si>
  <si>
    <t>73636157</t>
  </si>
  <si>
    <t>Елаурское</t>
  </si>
  <si>
    <t>73636440</t>
  </si>
  <si>
    <t>Новослободское</t>
  </si>
  <si>
    <t>73636460</t>
  </si>
  <si>
    <t>Тушнинское</t>
  </si>
  <si>
    <t>73636480</t>
  </si>
  <si>
    <t>Старокулаткинский муниципальный район</t>
  </si>
  <si>
    <t>Старокулаткинское городское поселение</t>
  </si>
  <si>
    <t>73639151</t>
  </si>
  <si>
    <t>Терешанское</t>
  </si>
  <si>
    <t>73639440</t>
  </si>
  <si>
    <t>Староатлашское</t>
  </si>
  <si>
    <t>73639445</t>
  </si>
  <si>
    <t>Зеленовское сельское поселение</t>
  </si>
  <si>
    <t>73639450</t>
  </si>
  <si>
    <t>Мостякское</t>
  </si>
  <si>
    <t>73639455</t>
  </si>
  <si>
    <t>Старомайнский муниципальный район</t>
  </si>
  <si>
    <t>Старомайнское городское поселение</t>
  </si>
  <si>
    <t>73642151</t>
  </si>
  <si>
    <t>Кандалинское</t>
  </si>
  <si>
    <t>73642405</t>
  </si>
  <si>
    <t>Жедяевское</t>
  </si>
  <si>
    <t>73642425</t>
  </si>
  <si>
    <t>Краснореченское</t>
  </si>
  <si>
    <t>73642430</t>
  </si>
  <si>
    <t>Прибрежненское</t>
  </si>
  <si>
    <t>73642435</t>
  </si>
  <si>
    <t>Матвеевское</t>
  </si>
  <si>
    <t>73642445</t>
  </si>
  <si>
    <t>Урайкинское</t>
  </si>
  <si>
    <t>73642460</t>
  </si>
  <si>
    <t>Сурский муниципальный район</t>
  </si>
  <si>
    <t>Сурское городское поселение</t>
  </si>
  <si>
    <t>73644151</t>
  </si>
  <si>
    <t>Астрадамовское</t>
  </si>
  <si>
    <t>73644410</t>
  </si>
  <si>
    <t>Лавинское</t>
  </si>
  <si>
    <t>73644455</t>
  </si>
  <si>
    <t>Никитинское</t>
  </si>
  <si>
    <t>73644460</t>
  </si>
  <si>
    <t>Сарское</t>
  </si>
  <si>
    <t>73644470</t>
  </si>
  <si>
    <t>Чеботаевское</t>
  </si>
  <si>
    <t>73644475</t>
  </si>
  <si>
    <t>Хмелевское</t>
  </si>
  <si>
    <t>73644485</t>
  </si>
  <si>
    <t>Тереньгульский муниципальный район</t>
  </si>
  <si>
    <t>Тереньгульское городское поселение</t>
  </si>
  <si>
    <t>73648151</t>
  </si>
  <si>
    <t>Белогорское</t>
  </si>
  <si>
    <t>73648410</t>
  </si>
  <si>
    <t>Красноборское</t>
  </si>
  <si>
    <t>73648430</t>
  </si>
  <si>
    <t>Михайловское</t>
  </si>
  <si>
    <t>73648435</t>
  </si>
  <si>
    <t>Подкуровское</t>
  </si>
  <si>
    <t>73648438</t>
  </si>
  <si>
    <t>Ясашноташлинское</t>
  </si>
  <si>
    <t>73648450</t>
  </si>
  <si>
    <t>Ульяновский муниципальный район</t>
  </si>
  <si>
    <t>Ишеевское городское поселение</t>
  </si>
  <si>
    <t>73652151</t>
  </si>
  <si>
    <t>Большеключищенское</t>
  </si>
  <si>
    <t>73652415</t>
  </si>
  <si>
    <t>Зеленорощинское</t>
  </si>
  <si>
    <t>73652420</t>
  </si>
  <si>
    <t>Тимирязевское</t>
  </si>
  <si>
    <t>73652445</t>
  </si>
  <si>
    <t>Тетюшское</t>
  </si>
  <si>
    <t>73652465</t>
  </si>
  <si>
    <t>Ундоровское</t>
  </si>
  <si>
    <t>73652470</t>
  </si>
  <si>
    <t>Цильнинский муниципальный район</t>
  </si>
  <si>
    <t>Цильнинское городское поселение</t>
  </si>
  <si>
    <t>73654154</t>
  </si>
  <si>
    <t>Большенагаткинское</t>
  </si>
  <si>
    <t>73654415</t>
  </si>
  <si>
    <t>Елховоозерское</t>
  </si>
  <si>
    <t>73654425</t>
  </si>
  <si>
    <t>Мокробугурнинское</t>
  </si>
  <si>
    <t>73654445</t>
  </si>
  <si>
    <t>Новоникулинское</t>
  </si>
  <si>
    <t>73654455</t>
  </si>
  <si>
    <t>Тимерсянское</t>
  </si>
  <si>
    <t>73654475</t>
  </si>
  <si>
    <t>Алгашинское</t>
  </si>
  <si>
    <t>73654480</t>
  </si>
  <si>
    <t>73654485</t>
  </si>
  <si>
    <t>Чердаклинский муниципальный район</t>
  </si>
  <si>
    <t>Чердаклинское городское поселение</t>
  </si>
  <si>
    <t>73656151</t>
  </si>
  <si>
    <t>Октябрьское сельское поселение</t>
  </si>
  <si>
    <t>73656406</t>
  </si>
  <si>
    <t>Белоярское</t>
  </si>
  <si>
    <t>73656410</t>
  </si>
  <si>
    <t>Богдашкинское</t>
  </si>
  <si>
    <t>73656413</t>
  </si>
  <si>
    <t>Бряндинское</t>
  </si>
  <si>
    <t>73656415</t>
  </si>
  <si>
    <t>Красноярское</t>
  </si>
  <si>
    <t>73656425</t>
  </si>
  <si>
    <t>Крестовогородищенское</t>
  </si>
  <si>
    <t>73656430</t>
  </si>
  <si>
    <t>Мирновское</t>
  </si>
  <si>
    <t>73656440</t>
  </si>
  <si>
    <t>Озерское сельское поселение</t>
  </si>
  <si>
    <t>73656445</t>
  </si>
  <si>
    <t>Калмаюрское</t>
  </si>
  <si>
    <t>73656470</t>
  </si>
  <si>
    <t>город Ульяновск</t>
  </si>
  <si>
    <t>73701000</t>
  </si>
  <si>
    <t>город Новоульяновск</t>
  </si>
  <si>
    <t>73715000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</si>
  <si>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</si>
  <si>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</si>
  <si>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</si>
  <si>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</si>
  <si>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</si>
  <si>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</si>
  <si>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</si>
  <si>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</si>
  <si>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</si>
  <si>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</si>
  <si>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</si>
  <si>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</si>
  <si>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</si>
  <si>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</si>
  <si>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</si>
  <si>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</si>
  <si>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</si>
  <si>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</si>
  <si>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</si>
  <si>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OOO "УК ЖКК "Мулловка"</t>
  </si>
  <si>
    <t>Общество с ограниченной ответственностью "Управляющая компания жилищно - коммунального комплекса "Мулловка"</t>
  </si>
  <si>
    <t>7310104436</t>
  </si>
  <si>
    <t>731001001</t>
  </si>
  <si>
    <t>1087310000524</t>
  </si>
  <si>
    <t>84270454</t>
  </si>
  <si>
    <t>433550 Россия, Ульяновская область, Мелекесский район, р.п. Мулловка, ул. Красноармейская, д.144</t>
  </si>
  <si>
    <t>+7(84235) 99110</t>
  </si>
  <si>
    <t>ukgkk-mullovka@mail.ru</t>
  </si>
  <si>
    <t>Гасич Людмила Николаевна</t>
  </si>
  <si>
    <t>Генеральный директор</t>
  </si>
  <si>
    <t>http://www.gkk-mullovka.m-vestnik.ru</t>
  </si>
  <si>
    <t>VS</t>
  </si>
  <si>
    <t>АО "ГНЦ НИИАР"</t>
  </si>
  <si>
    <t>Акционерное общество  "ГНЦ НИИАР"</t>
  </si>
  <si>
    <t>7302040242</t>
  </si>
  <si>
    <t>1087302001797</t>
  </si>
  <si>
    <t>20553876</t>
  </si>
  <si>
    <t>1 22 47 | Публичные акционерные общества</t>
  </si>
  <si>
    <t>433510 Ульяновская область, г.Димитровград-10</t>
  </si>
  <si>
    <t>+7(84235) 3-27-27; +7(84235)3-58-59 (ф)(46569канц)</t>
  </si>
  <si>
    <t>nikitina@niiar.ru</t>
  </si>
  <si>
    <t>Павлов Сергей Владленович</t>
  </si>
  <si>
    <t>http://niiar.ru/</t>
  </si>
  <si>
    <t>АО "ДААЗ"</t>
  </si>
  <si>
    <t>Акционерное общество "Димитровградский автоагрегатный завод"</t>
  </si>
  <si>
    <t>7302004004</t>
  </si>
  <si>
    <t>730350001</t>
  </si>
  <si>
    <t>1027300533138</t>
  </si>
  <si>
    <t>00232087</t>
  </si>
  <si>
    <t>1 22 67 | Непубличные акционерные общества</t>
  </si>
  <si>
    <t>433513, Ульяновская область, г.Димитровград, проспект Автостроителей, 78</t>
  </si>
  <si>
    <t>+7(84235)5-17-76,  (84235)6-11-55(ф)</t>
  </si>
  <si>
    <t>sdir@daaz.ru : lrodionova@daaz.ru</t>
  </si>
  <si>
    <t>Родионов Сергей Иванович</t>
  </si>
  <si>
    <t>Управляющий</t>
  </si>
  <si>
    <t>daaz.ru</t>
  </si>
  <si>
    <t>АО "Силикатчик"</t>
  </si>
  <si>
    <t>Акционерное общество "Силикатчик"</t>
  </si>
  <si>
    <t>7316001236</t>
  </si>
  <si>
    <t>731601001</t>
  </si>
  <si>
    <t>1027300929831</t>
  </si>
  <si>
    <t>05296815</t>
  </si>
  <si>
    <t>433393, Ульяновская область, Сенгилеевский район, п. Силикатный</t>
  </si>
  <si>
    <t>+7(84233)2 61 17,+7( 84233)2 61 62(ф)</t>
  </si>
  <si>
    <t>silikatchik@mail.ru</t>
  </si>
  <si>
    <t>Нефедов Сергей Александрович</t>
  </si>
  <si>
    <t>www.silikatchik.nbbr.ru</t>
  </si>
  <si>
    <t>АО "Симбирские курорты"</t>
  </si>
  <si>
    <t>Акционерное общество  "Симбирские курорты"</t>
  </si>
  <si>
    <t>7325035721</t>
  </si>
  <si>
    <t>732501001</t>
  </si>
  <si>
    <t>1027301174130</t>
  </si>
  <si>
    <t>02590678</t>
  </si>
  <si>
    <t>Ульяновская область, Николаевский район, пос.Белое Озеро</t>
  </si>
  <si>
    <t>432017, г. Ульяновск, ул. К.Маркса, 5</t>
  </si>
  <si>
    <t>+7(84247)41-62-84, +78422)-41-62-83(ф)</t>
  </si>
  <si>
    <t>smkurort@mail.ru</t>
  </si>
  <si>
    <t>Дунаев Ростислав Андреевич</t>
  </si>
  <si>
    <t>ulkurort.ru</t>
  </si>
  <si>
    <t>АО "Тепличное"</t>
  </si>
  <si>
    <t>Акционерное общество "Тепличное"</t>
  </si>
  <si>
    <t>7327063643</t>
  </si>
  <si>
    <t>732701001</t>
  </si>
  <si>
    <t>1127327001460</t>
  </si>
  <si>
    <t>05198395</t>
  </si>
  <si>
    <t>433327, Ульяновская область,  г. Ульяновск, Засвияжский район, с.Баратаевка</t>
  </si>
  <si>
    <t>+7(8422)317371(ф) 89023573409</t>
  </si>
  <si>
    <t>ogusp-tepl@mail.ru</t>
  </si>
  <si>
    <t>Долганова  Л.Е.</t>
  </si>
  <si>
    <t>и.о.генерального директора</t>
  </si>
  <si>
    <t>teplichnoe73.ru</t>
  </si>
  <si>
    <t>АО "Ульяновскцемент"</t>
  </si>
  <si>
    <t>Закрытое акционерное общество "Ульяновскцемент"</t>
  </si>
  <si>
    <t>7321000069</t>
  </si>
  <si>
    <t>732101001</t>
  </si>
  <si>
    <t>1027301056562</t>
  </si>
  <si>
    <t>00282671</t>
  </si>
  <si>
    <t>433300, Ульяновская область, г. Новоульяновск, проезд Промышленный д.1</t>
  </si>
  <si>
    <t>+7(84255)7-27-42;+7(84255)7-22-36</t>
  </si>
  <si>
    <t>VYPetrov@eurocem.ru</t>
  </si>
  <si>
    <t>Чеботарев Артур Ринатович</t>
  </si>
  <si>
    <t>генеральный директор</t>
  </si>
  <si>
    <t>ГУЗ "Областной противотуберкулёзный санаторий имени врача А.А. Тамарова"</t>
  </si>
  <si>
    <t>Государственное учреждение здравоохранения "Областной противотуберкулёзный санаторий имени врача А.А. Тамарова"</t>
  </si>
  <si>
    <t>7306003763</t>
  </si>
  <si>
    <t>730601001</t>
  </si>
  <si>
    <t>1027300707092</t>
  </si>
  <si>
    <t>1948965</t>
  </si>
  <si>
    <t>6 52 41 | Федеральные государственные унитарные предприятия</t>
  </si>
  <si>
    <t>433032, Ульяновская область, Инзенский район, г.Инза, ул.Санаторная д.5</t>
  </si>
  <si>
    <t>+7(84 241) 2-61-14(ф)</t>
  </si>
  <si>
    <t>sanatorii-inza@yandex.ru</t>
  </si>
  <si>
    <t>Воронин Андрей Александрович</t>
  </si>
  <si>
    <t>Главный врач</t>
  </si>
  <si>
    <t>http://sanatori_inza.n4.biz/</t>
  </si>
  <si>
    <t>ИП Чуваев П.К.</t>
  </si>
  <si>
    <t>Индивидуальный предприниматель Чуваев П.К.</t>
  </si>
  <si>
    <t>731800606489</t>
  </si>
  <si>
    <t>отсутствует</t>
  </si>
  <si>
    <t>304732310600056</t>
  </si>
  <si>
    <t>5 01 02 | Индивидуальные предприниматели</t>
  </si>
  <si>
    <t>433450 Ульяновская область. Старомайнский района, с. Красная река, ул. Ноганова д 7</t>
  </si>
  <si>
    <t>+79053499280, 8(84 230)72104</t>
  </si>
  <si>
    <t>yana11.96@mail.ru</t>
  </si>
  <si>
    <t>Чуваев Пётр Константинович</t>
  </si>
  <si>
    <t>Индивидуальный предприниматель</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</si>
  <si>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</si>
  <si>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</si>
  <si>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</si>
  <si>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1037739877295</t>
  </si>
  <si>
    <t>432006, г. Ульяновск, пер. Диспетчерский, д. 10а</t>
  </si>
  <si>
    <t xml:space="preserve"> 107174, г. Москва, ул. Новая Басманная, д. 2</t>
  </si>
  <si>
    <t>8 (846) 303-25-54</t>
  </si>
  <si>
    <t>ognevagala@kbsh.rzd.ru</t>
  </si>
  <si>
    <t>Мазыгин Валерий Николаевич</t>
  </si>
  <si>
    <t>директор</t>
  </si>
  <si>
    <t>Шаталина Светлана Юрьевна</t>
  </si>
  <si>
    <t>ЛПДС «Клин» филиал АО «ТРАНСНЕФТЬ - ДРУЖБА» «ПРУ»</t>
  </si>
  <si>
    <t>ЛПДС «Клин» филиал АО «ТРАНСНЕФТЬ - ДРУЖБА» «Пензенское районное управление»</t>
  </si>
  <si>
    <t>3235002178</t>
  </si>
  <si>
    <t>632543001</t>
  </si>
  <si>
    <t>1023202736754</t>
  </si>
  <si>
    <t>25427076</t>
  </si>
  <si>
    <t>Ульяновская область, Николаевский район, р. п. Канадей, пос. Клин</t>
  </si>
  <si>
    <t>241020, г. Брянск, ул. Уральская, д. 113</t>
  </si>
  <si>
    <t>+7(4864)98-59-22 (ф)</t>
  </si>
  <si>
    <t>PalashinAI@drn.transneft.ru</t>
  </si>
  <si>
    <t>Богомолов Олег Валентинович</t>
  </si>
  <si>
    <t>ЛПДС "Никулино" АО "ТРАНСНЕФТЬ - ДРУЖБА"</t>
  </si>
  <si>
    <t>731345001</t>
  </si>
  <si>
    <t>Вершинин Алексей Юрьевич</t>
  </si>
  <si>
    <t>Начальник станции</t>
  </si>
  <si>
    <t>МАУ «Управление муниципальным хозяйством»</t>
  </si>
  <si>
    <t>Муниципальное автономное учреждение «Управление муниципальным хозяйством»</t>
  </si>
  <si>
    <t>7329012958</t>
  </si>
  <si>
    <t>1137329004053</t>
  </si>
  <si>
    <t>25216103</t>
  </si>
  <si>
    <t>7 54 01 | Муниципальные автономные учреждения</t>
  </si>
  <si>
    <t>433560, Ульяновская область, с. Новая Малыкла, ул. Советская д. 24.</t>
  </si>
  <si>
    <t>+7(84 232)22-2-81</t>
  </si>
  <si>
    <t>Дежурнов Михаил Юрьевич</t>
  </si>
  <si>
    <t>МКП «Комбытсервис»</t>
  </si>
  <si>
    <t>Муниципальное казенное предприятия «Комбытсервис»</t>
  </si>
  <si>
    <t>7321318528</t>
  </si>
  <si>
    <t>1127321000950</t>
  </si>
  <si>
    <t>87810302</t>
  </si>
  <si>
    <t>6 51 43 | Муниципальные казенные предприятия</t>
  </si>
  <si>
    <t>433600, Ульяновская область, Цильнинский район, р.п. Цильна, ул. Мира д10</t>
  </si>
  <si>
    <t>+7 (84 245)3-15-58; +7 9278244379</t>
  </si>
  <si>
    <t>Хуснутдинов Абрар Рахматулович</t>
  </si>
  <si>
    <t>МКП "КОМХОЗ"</t>
  </si>
  <si>
    <t>Муниципальное казённое предприятие "КОМХОЗ"</t>
  </si>
  <si>
    <t>7309006931</t>
  </si>
  <si>
    <t>730901001</t>
  </si>
  <si>
    <t>1177325018518</t>
  </si>
  <si>
    <t>19748729</t>
  </si>
  <si>
    <t>433120, Ульяновская область, Вешкаймский район, пгт Чуфарово, ул. Мира, 44</t>
  </si>
  <si>
    <t>+7(84243)3-11-74 (ф), +7(84243) 3-12-24</t>
  </si>
  <si>
    <t>komhoz-2017@mail.ru</t>
  </si>
  <si>
    <t>Здобнов Валерий Александрович</t>
  </si>
  <si>
    <t>МКП "Павловское"</t>
  </si>
  <si>
    <t>Муниципальное казенное предприятие "Павловское"</t>
  </si>
  <si>
    <t>7313012906</t>
  </si>
  <si>
    <t>731301001</t>
  </si>
  <si>
    <t>1187325022235</t>
  </si>
  <si>
    <t>433970,Ульяновская область, Павловский район, ул. Рабочая д.72</t>
  </si>
  <si>
    <t>+7(84248)2-24-46, 2-20-67</t>
  </si>
  <si>
    <t>mupservis_73@mail.ru</t>
  </si>
  <si>
    <t>Сыражов Сергей Анатольевич</t>
  </si>
  <si>
    <t>МКП "Цильна"</t>
  </si>
  <si>
    <t>МУНИЦИПАЛЬНОЕ КАЗЕННОЕ ПРЕДПРИЯТИЕ "ЦИЛЬНА" МУНИЦИПАЛЬНОГО ОБРАЗОВАНИЯ "ЦИЛЬНИНСКОЕ ГОРОДСКОЕ ПОСЕЛЕНИЕ" ЦИЛЬНИНСКОГО РАЙОНА УЛЬЯНОВСКОЙ ОБЛАСТИ</t>
  </si>
  <si>
    <t>7321006945</t>
  </si>
  <si>
    <t>1187325022169</t>
  </si>
  <si>
    <t>35211012</t>
  </si>
  <si>
    <t>433600, Ульяновская область, Цильнинский район, рабочий поселок Цильна, улица Мира, дом 10</t>
  </si>
  <si>
    <t>+7(84245)31-1-46</t>
  </si>
  <si>
    <t>mkpeilna@mail.ru</t>
  </si>
  <si>
    <t>Карпухин Дмитрий Владимирович</t>
  </si>
  <si>
    <t>МП "Ремтехсервис"</t>
  </si>
  <si>
    <t>Муниципальное предприятие  "Ремтехсервис"</t>
  </si>
  <si>
    <t>7311006103</t>
  </si>
  <si>
    <t>731101001</t>
  </si>
  <si>
    <t>1067311005673</t>
  </si>
  <si>
    <t>25523727</t>
  </si>
  <si>
    <t>6 52 43 | Муниципальные унитарные предприятия</t>
  </si>
  <si>
    <t>433810 Ульяновская область Николаевский район  р.п. Николаевка ул.Узкоколейная,д.29</t>
  </si>
  <si>
    <t>+7(84247)22552</t>
  </si>
  <si>
    <t>remc@yandex.ru</t>
  </si>
  <si>
    <t>Вахидов Р.Ф.</t>
  </si>
  <si>
    <t>МП "Старт"</t>
  </si>
  <si>
    <t>Муниципальное предприятие "Старт"</t>
  </si>
  <si>
    <t>7310106497</t>
  </si>
  <si>
    <t>1107310000082</t>
  </si>
  <si>
    <t>87753159</t>
  </si>
  <si>
    <t>433534,Ульяновская область, Мелекесский район, Мелекесский район, с.Никольское-на-Черемшане, ул.Герцена д.13</t>
  </si>
  <si>
    <t>433534, Ульяновская область, Мелекесский район, с. Никольское на Черемшане, ул. Ленина, 15</t>
  </si>
  <si>
    <t>+7(84235)95-2-86 (ф)</t>
  </si>
  <si>
    <t>mpstart@mail.ru</t>
  </si>
  <si>
    <t>Чириков Сергей Николаевич</t>
  </si>
  <si>
    <t>Директора</t>
  </si>
  <si>
    <t>МУП «Аква» МО Игнатовское городское поселение Майнского района Ульяновской области</t>
  </si>
  <si>
    <t>7309008720</t>
  </si>
  <si>
    <t>1207300008255</t>
  </si>
  <si>
    <t>433152, Ульяновская область, Майнский район, рабочий поселок Игнатовка, Транспортная улица, дом 24а, офис 1</t>
  </si>
  <si>
    <t>+7(84244)31479</t>
  </si>
  <si>
    <t>akva070720@rambler.ru</t>
  </si>
  <si>
    <t>Анохина Анастасия Евгеньевна</t>
  </si>
  <si>
    <t>ВРИО директора</t>
  </si>
  <si>
    <t>МУП "Вешкаймский Водоканал"</t>
  </si>
  <si>
    <t>Муниципальное унитарное предприятие "Вешкаймский Водоканал"</t>
  </si>
  <si>
    <t>7300036032</t>
  </si>
  <si>
    <t>730001001</t>
  </si>
  <si>
    <t>1247300008108</t>
  </si>
  <si>
    <t>76817525</t>
  </si>
  <si>
    <t>433100, Ульяновская область, Вешкаймский р-н, рп Вешкайма, ул 40 Лет Октября, д. 53</t>
  </si>
  <si>
    <t>+7(84 243) 2-28-93</t>
  </si>
  <si>
    <t>mup21455@mail.ru</t>
  </si>
  <si>
    <t>Абдулкаримов Абдурашид Хабибулаевич</t>
  </si>
  <si>
    <t>МУП "Вешкаймское водоснабжение"</t>
  </si>
  <si>
    <t>Муниципальное унитарное предприятие "Вешкаймское водоснабжение"</t>
  </si>
  <si>
    <t>7309008946</t>
  </si>
  <si>
    <t>1217300006021</t>
  </si>
  <si>
    <t>60156205</t>
  </si>
  <si>
    <t>433100, Ульяновская область, р.п. Вешкайма, ул. Строителей 10</t>
  </si>
  <si>
    <t>(84243)2-28-93</t>
  </si>
  <si>
    <t>Руководитель</t>
  </si>
  <si>
    <t>МУП "ДОЛИНА"</t>
  </si>
  <si>
    <t>Шаховское муниципальное унитарное предприятие "ДОЛИНА"</t>
  </si>
  <si>
    <t>7311006978</t>
  </si>
  <si>
    <t>1077311000788</t>
  </si>
  <si>
    <t>84260019</t>
  </si>
  <si>
    <t>433991 Ульяновская область Павловский район село Шаховское ул.Советская дом 105</t>
  </si>
  <si>
    <t xml:space="preserve"> +7(84248)39148, +7(84248)39147 (ф),</t>
  </si>
  <si>
    <t>24.02.67@mail.ru</t>
  </si>
  <si>
    <t>Фурсов Николай Николаевич</t>
  </si>
  <si>
    <t>МУП ЖКХ "Анненковское"</t>
  </si>
  <si>
    <t>Муниципальное унитарное предприятие Жилищно-коммунального хозяйство "Анненковское"</t>
  </si>
  <si>
    <t>7309906315</t>
  </si>
  <si>
    <t>1117309000159</t>
  </si>
  <si>
    <t>87787885</t>
  </si>
  <si>
    <t>433134 Ульяновская область, Майнский район, с.Анненково-Лесное, ул.Пл.Победы, дом 5</t>
  </si>
  <si>
    <t>+7(84244)41145</t>
  </si>
  <si>
    <t>anenkovo@mail.ru</t>
  </si>
  <si>
    <t>Ишмуллина Светлана Николаевна</t>
  </si>
  <si>
    <t>МУП ЖКХ "Белоярское"</t>
  </si>
  <si>
    <t>Муниципальное унитарное предприятие жилищно-коммунального хозяйства "Белоярское"</t>
  </si>
  <si>
    <t>7329026076</t>
  </si>
  <si>
    <t>1177325020135</t>
  </si>
  <si>
    <t>433423, Ульяновская область, Чердаклинский район, село Новый Белый Яр, ул. Кооперативная, д.15</t>
  </si>
  <si>
    <t>Сухарев Евгений Алексеевич</t>
  </si>
  <si>
    <t>МУП "ЖКХ" Валгусское сельское поселение</t>
  </si>
  <si>
    <t>Муниципальное унитарное предприятие "Жилищно-коммунальное хозяйство" МО Валгусское сельское поселение</t>
  </si>
  <si>
    <t>7306040388</t>
  </si>
  <si>
    <t>1087306000726</t>
  </si>
  <si>
    <t>87727877</t>
  </si>
  <si>
    <t>433012 Ульяновская обл., Инзенский район, с.Валгуссы, ул.Большая, д.61</t>
  </si>
  <si>
    <t>+7(84241)69-2-51 (ф)</t>
  </si>
  <si>
    <t>valgussimup@rambler.ru</t>
  </si>
  <si>
    <t>Володина Татьяна Дмитриевна</t>
  </si>
  <si>
    <t>МУП "ЖКХ" Коржевское сельское поселение</t>
  </si>
  <si>
    <t>Муниципальное унитарное предприятие "Жилищно-коммунальное хозяйство" МО Коржевское сельское поселение</t>
  </si>
  <si>
    <t>7306039343</t>
  </si>
  <si>
    <t>1077306000331</t>
  </si>
  <si>
    <t>25312731</t>
  </si>
  <si>
    <t>433021 Ульяновская обл., Инзенский район, с. Коржевка, ул. Центральная, д.1</t>
  </si>
  <si>
    <t>+7(84241)77516</t>
  </si>
  <si>
    <t>korzheyskoe @ mail.ru</t>
  </si>
  <si>
    <t>Симатов Александр Геннадьевич</t>
  </si>
  <si>
    <t>МУП ЖКХ "Красноярское"</t>
  </si>
  <si>
    <t>Муниципальное унитарное предприятие Жилищно-коммунального хозяйство "Красноярское"</t>
  </si>
  <si>
    <t>7323006669</t>
  </si>
  <si>
    <t>732301001</t>
  </si>
  <si>
    <t>1037300902176</t>
  </si>
  <si>
    <t>25455532</t>
  </si>
  <si>
    <t>433410, Ульяновская область, Чердаклинский район, п. Колхозный, ул. Зеленая, д. 36</t>
  </si>
  <si>
    <t>+78423147136</t>
  </si>
  <si>
    <t>hpvpavel73@yandex.ru</t>
  </si>
  <si>
    <t>Сатдаров Ринат Вазыхович</t>
  </si>
  <si>
    <t>МУП ЖКХ МО Глотовское городское поселение</t>
  </si>
  <si>
    <t>Муниципальное унитарное предприятие Жилищно-коммунального хозяйство  МО Глотовское городское поселение</t>
  </si>
  <si>
    <t>7306037956</t>
  </si>
  <si>
    <t>1067306001047</t>
  </si>
  <si>
    <t>25523288</t>
  </si>
  <si>
    <t>433040, Ульяновская обл. Инзенский р-н, р.п. Глотовка, ул Куйбышева 22</t>
  </si>
  <si>
    <t>+79276309954; +7(84241)61-130</t>
  </si>
  <si>
    <t>mup-gkh-mo@mail.ru</t>
  </si>
  <si>
    <t>Чурашов Виктор Владимирович</t>
  </si>
  <si>
    <t>Glotovkagkh.narod.ru</t>
  </si>
  <si>
    <t>МУП ЖКХ МО "Октябрьское городское поселение"("Быт-Сервис")</t>
  </si>
  <si>
    <t>Муниципальное унитарное предприятие Жилищно-коммунального хозяйство Муниципального образования  "Октябрьское городское поселение"("Быт-Сервис")</t>
  </si>
  <si>
    <t>7310101770</t>
  </si>
  <si>
    <t>1067310026992</t>
  </si>
  <si>
    <t>25526648</t>
  </si>
  <si>
    <t>433430, Ульяновская область, Чердаклинский район, п. Октябрьский, ул. Ульяновская, д.7</t>
  </si>
  <si>
    <t>+7(84 231)51681; +7(84231) 51693 (ф)</t>
  </si>
  <si>
    <t>natasha19191919@mail.ru</t>
  </si>
  <si>
    <t>Муравьев Сергей Николаевич</t>
  </si>
  <si>
    <t>МУП "ЖКХ с. Крестово-Городище"</t>
  </si>
  <si>
    <t>Муниципальное унитарное предприятие "Жилищно-коммунальное хозяйство с. Крестово-Городище"</t>
  </si>
  <si>
    <t>7323007101</t>
  </si>
  <si>
    <t>1037300902748</t>
  </si>
  <si>
    <t>25458622</t>
  </si>
  <si>
    <t>433408, с. Крестово-Городище,  ул. Ленина 58"А", Чердаклинский район, Ульяновская область.</t>
  </si>
  <si>
    <t>+7(84231)5-33-20</t>
  </si>
  <si>
    <t>aleksandr-60@list.ru</t>
  </si>
  <si>
    <t>Ерасов Василий Иванович</t>
  </si>
  <si>
    <t>МУП "Исток"</t>
  </si>
  <si>
    <t>Муниципальное унитарное предприятие "Исток" Урено-карлинское сельское поселение"</t>
  </si>
  <si>
    <t>7309904251</t>
  </si>
  <si>
    <t>1077309000669</t>
  </si>
  <si>
    <t>12556659</t>
  </si>
  <si>
    <t>433214, Ульяновская область, Карсунский район, с. Урено-Карлинское, ул. Полевая, д.39</t>
  </si>
  <si>
    <t>+7(84246)92-1-10, +7(84246)9-21-43(ф)</t>
  </si>
  <si>
    <t>urkarl@mail.ru</t>
  </si>
  <si>
    <t>Долгов Владимир Александрович</t>
  </si>
  <si>
    <t>Муниципальное унитарное предприятие  "Исток"</t>
  </si>
  <si>
    <t>7306039992</t>
  </si>
  <si>
    <t>1087306000341</t>
  </si>
  <si>
    <t>84269894</t>
  </si>
  <si>
    <t>433010, Ульяновская область, Инзенский р-он, с.Труслейка, пер.Советский д.4</t>
  </si>
  <si>
    <t>+7(8241) 6 33 33 (ф)</t>
  </si>
  <si>
    <t>makarova2405@rambler.ru</t>
  </si>
  <si>
    <t>Манохина Кристина Викторовна</t>
  </si>
  <si>
    <t>и.о. директора</t>
  </si>
  <si>
    <t>МУП "Коромысловское ЖКХ"</t>
  </si>
  <si>
    <t>Муниципальное унитарное предприятие "Коромысловское Жилищно Коммунальное Хозяйства"</t>
  </si>
  <si>
    <t>7313004246</t>
  </si>
  <si>
    <t>1057313004913</t>
  </si>
  <si>
    <t>25498998</t>
  </si>
  <si>
    <t>433778 Ульяновская область, Кузоватовский район, с. Коромысловка, ул. Парковая 3</t>
  </si>
  <si>
    <t>+7(84 237) 42-2-42</t>
  </si>
  <si>
    <t>koromyslovskoezhkh@mail.ru</t>
  </si>
  <si>
    <t>Крюкова Вера Петровна</t>
  </si>
  <si>
    <t>и.о.директора</t>
  </si>
  <si>
    <t>МУП "Нива"</t>
  </si>
  <si>
    <t>Муниципальное унитарное предприятие "Нива"</t>
  </si>
  <si>
    <t>7306040758</t>
  </si>
  <si>
    <t>1097306000175</t>
  </si>
  <si>
    <t>87735138</t>
  </si>
  <si>
    <t>433005 Ульяновская обл., Инзенский район, с.Черемушки, ул.Шоссейная, д.33</t>
  </si>
  <si>
    <t>+7(84241)25979; +7(84241)25916</t>
  </si>
  <si>
    <t>irina.tairova2010@yandex.ru</t>
  </si>
  <si>
    <t>Сергеева Маргарита Витальевна</t>
  </si>
  <si>
    <t>МУП "Родник"</t>
  </si>
  <si>
    <t>Муниципальное унитарное предприятие "Родник"</t>
  </si>
  <si>
    <t>7309903875</t>
  </si>
  <si>
    <t>1077309000075</t>
  </si>
  <si>
    <t>25311681</t>
  </si>
  <si>
    <t>433223, Ульяновская область, Карсунский район, с.Сосновка, ул.Советская 25</t>
  </si>
  <si>
    <t>+7(84246) 9 11 34; +7(84 246)91-3-74 (ф)</t>
  </si>
  <si>
    <t>nikishin25@mail.ru</t>
  </si>
  <si>
    <t>Рекин Сергей Иванович</t>
  </si>
  <si>
    <t>МУП "Родник" Астрадамовское сельское поселение Сурского района Ульяновской области</t>
  </si>
  <si>
    <t>МУНИЦИПАЛЬНОЕ УНИТАРНОЕ ПРЕДПРИЯТИЕ "РОДНИК" МО АСТРАДАМОВСКОЕ СЕЛЬСКОЕ ПОСЕЛЕНИЕ СУРСКОГО РАЙОНА УЛЬЯНОВСКОЙ ОБЛАСТИ</t>
  </si>
  <si>
    <t>7309006762</t>
  </si>
  <si>
    <t>1177325010994</t>
  </si>
  <si>
    <t>15971608</t>
  </si>
  <si>
    <t>433260, Ульяновская область, Сурский район, село Астрадамовка, Больничная улица, дом 5, комната 5</t>
  </si>
  <si>
    <t>+7 842439375, +7(902) 246-07-98, 8842439331(ф)</t>
  </si>
  <si>
    <t>astradamovskoe@mail.ru</t>
  </si>
  <si>
    <t>Мамаев Михаил васильевич</t>
  </si>
  <si>
    <t>http://www.list-org.com/company/9800602</t>
  </si>
  <si>
    <t>МУП "Спешневское ЖКХ"</t>
  </si>
  <si>
    <t>Муниципальное унитарное предприятие "Спешневское Жилищное коммунальное хозяйства"</t>
  </si>
  <si>
    <t>7308005438</t>
  </si>
  <si>
    <t>730801001</t>
  </si>
  <si>
    <t>1067313002228</t>
  </si>
  <si>
    <t>25512741</t>
  </si>
  <si>
    <t>433763,Ульяновская область,Кузоватовский район,с.Спешневка ул. Центральная,4</t>
  </si>
  <si>
    <t>+7(84237)47-5-34(ф)</t>
  </si>
  <si>
    <t>anisimova_1963@list.ru</t>
  </si>
  <si>
    <t>Арсентьев Вячеслав Михайлович</t>
  </si>
  <si>
    <t>МУП Услуги</t>
  </si>
  <si>
    <t>Октябрьское муниципальное унитарное предприятие "Услуги"</t>
  </si>
  <si>
    <t>7311006375</t>
  </si>
  <si>
    <t>1067311005981</t>
  </si>
  <si>
    <t>25292972</t>
  </si>
  <si>
    <t>433980 Ульяновская обл.Павловский район с. Октябрьское ул.Центральная д.7</t>
  </si>
  <si>
    <t>+79278235398</t>
  </si>
  <si>
    <t>mupuslugi@mail,ru</t>
  </si>
  <si>
    <t>Палашин Дмитрий Викторович</t>
  </si>
  <si>
    <t>МУП "Центр"</t>
  </si>
  <si>
    <t>Муниципальное унитарное предприятие  "Центр"</t>
  </si>
  <si>
    <t>7306040229</t>
  </si>
  <si>
    <t>1087306000583</t>
  </si>
  <si>
    <t>84279059</t>
  </si>
  <si>
    <t>433002, Ульяновская обл, Инзенский р-н, с. Оськино, пл. Труда д 1</t>
  </si>
  <si>
    <t>+7(84241)2-85-66 (ф)</t>
  </si>
  <si>
    <t>bazina.66@mail.ru</t>
  </si>
  <si>
    <t>Базина Наталья Сергеевна</t>
  </si>
  <si>
    <t>МУП "Чердаклыводоканал"</t>
  </si>
  <si>
    <t>Муниципальное унитарное предприятие "Чердаклыводоканал"</t>
  </si>
  <si>
    <t>7329032506</t>
  </si>
  <si>
    <t>1197325019308</t>
  </si>
  <si>
    <t>42588800</t>
  </si>
  <si>
    <t>7 54 04 | Муниципальные казенные учреждения</t>
  </si>
  <si>
    <t>Ульяновская область, Чердаклинский район, с. Озерки, ул. Кооперативная д.16</t>
  </si>
  <si>
    <t>+7(84231)59474</t>
  </si>
  <si>
    <t>chervodokanal@</t>
  </si>
  <si>
    <t>Уваров Виктор Сергеевич</t>
  </si>
  <si>
    <t>И.о. директора</t>
  </si>
  <si>
    <t>МУП "Чердаклыэнерго"</t>
  </si>
  <si>
    <t>Муниципальное унитарное предприятие "Чердаклыэнерго"</t>
  </si>
  <si>
    <t>7310103129</t>
  </si>
  <si>
    <t>1077310001471</t>
  </si>
  <si>
    <t>25374492</t>
  </si>
  <si>
    <t>433400, Ульяновская область, р.п. Чердаклы, ул. Октябрьская, 74</t>
  </si>
  <si>
    <t>+7(84231) 2-14-53; +7(84231)21285 (ф)</t>
  </si>
  <si>
    <t>mupcherdakli@mail.ru</t>
  </si>
  <si>
    <t>Кудяев Анатолий Александрович</t>
  </si>
  <si>
    <t>МУ ХЭК администрации МО "Новомалыклинский район"</t>
  </si>
  <si>
    <t>Муниципальное учреждение Хозяйственно-эксплуатационная Контора администрации муниципального образования "Новомалыклинский район"</t>
  </si>
  <si>
    <t>7310105824</t>
  </si>
  <si>
    <t>1097310000402</t>
  </si>
  <si>
    <t>433560, Ульяновская область, Новомалыклинский район, с. Новая Малыкла,ул. Кооперативная,32</t>
  </si>
  <si>
    <t>Куряев Александр Александрович</t>
  </si>
  <si>
    <t>Общество с ограниченной ответственностью "Поволжская водная компания"</t>
  </si>
  <si>
    <t>ООО "ПВК"</t>
  </si>
  <si>
    <t>7328107149</t>
  </si>
  <si>
    <t>732801001</t>
  </si>
  <si>
    <t>1207300012523</t>
  </si>
  <si>
    <t>432046 г.Ульяновск, ул. Гоголя, д.34А</t>
  </si>
  <si>
    <t>+79084918418</t>
  </si>
  <si>
    <t>Байгулов Денис Юрьевич</t>
  </si>
  <si>
    <t>pvk-seti@yandex.ru</t>
  </si>
  <si>
    <t>ОГАУСО ПНИ в п. Дальнее Поле</t>
  </si>
  <si>
    <t>Областное государственное автономное учреждение социального обслуживания "Психоневрологический интернат в п. Дальнее Поле</t>
  </si>
  <si>
    <t>7324000211</t>
  </si>
  <si>
    <t>732401001</t>
  </si>
  <si>
    <t>1027300707389</t>
  </si>
  <si>
    <t>25330709</t>
  </si>
  <si>
    <t>7 52 01 | Государственные автономные учреждения субъектов Российской Федерации</t>
  </si>
  <si>
    <t>433718, Ульяновская область, Базарносызганский район, п. Дальнее Поле, ул. Лесная, 8</t>
  </si>
  <si>
    <t>+7 (84240)59-117(ф)</t>
  </si>
  <si>
    <t>bazpni2005@mail.ru</t>
  </si>
  <si>
    <t>Герасимова Светлана Анатольевна</t>
  </si>
  <si>
    <t>ОГАУСО "Психоневрологический интернат "Союз" в с.Бригадировка</t>
  </si>
  <si>
    <t>Областное государственное автономное учреждение социального обслуживания "Психоневрологический интернат "Союз" в с.Бригадировка</t>
  </si>
  <si>
    <t>7310009207</t>
  </si>
  <si>
    <t>1047300464683</t>
  </si>
  <si>
    <t>25480936</t>
  </si>
  <si>
    <t>Ульяновская область, Мелекесский район, село Бригадировка, Курортное шоссе 2</t>
  </si>
  <si>
    <t>(84235)22822</t>
  </si>
  <si>
    <t>Захаров Геннадий Васильевич</t>
  </si>
  <si>
    <t>soyz79@yandex.ru</t>
  </si>
  <si>
    <t>ОГКП "Ульяновский областной водоканал"</t>
  </si>
  <si>
    <t>Областное государственное казенное предприятие Ульяновской области "Ульяновский областной водоканал"</t>
  </si>
  <si>
    <t>7315905278</t>
  </si>
  <si>
    <t>731501001</t>
  </si>
  <si>
    <t>1067313006727</t>
  </si>
  <si>
    <t>25525218</t>
  </si>
  <si>
    <t>7 52 04 | Государственные казенные учреждения субъектов Российской Федерации</t>
  </si>
  <si>
    <t>433910 Ульяновская область Радищевский район рп Радищево ул.Кооперативная 58А</t>
  </si>
  <si>
    <t>+7(84239)21691(ф)</t>
  </si>
  <si>
    <t>vodovody.rad@mail.ru</t>
  </si>
  <si>
    <t>Шмырёв А.В.</t>
  </si>
  <si>
    <t>ООО "Водолей"</t>
  </si>
  <si>
    <t>Общество с ограниченной ответственностью  "Водолей"</t>
  </si>
  <si>
    <t>7306038036</t>
  </si>
  <si>
    <t>1067306003632</t>
  </si>
  <si>
    <t>25518270</t>
  </si>
  <si>
    <t>433737 Ульяновская область Барышский район с. Живайкино ул. Советская д.41</t>
  </si>
  <si>
    <t>+7(84253)41150, +7(84253)41122</t>
  </si>
  <si>
    <t>gsp.vodolei@mail.ru</t>
  </si>
  <si>
    <t>Ярынкин Виктор Николаевич</t>
  </si>
  <si>
    <t>http://www.barysh.org/</t>
  </si>
  <si>
    <t>ООО "Водстрой"</t>
  </si>
  <si>
    <t>Общество с ограниченной ответственностью "Водстрой"</t>
  </si>
  <si>
    <t>7310103626</t>
  </si>
  <si>
    <t>731801001</t>
  </si>
  <si>
    <t>1077310002318</t>
  </si>
  <si>
    <t>25426220</t>
  </si>
  <si>
    <t>433460, Ульяновская область, р.п. Старая Майна, ул. Карла Маркса, д.82</t>
  </si>
  <si>
    <t>+7(84230)23690</t>
  </si>
  <si>
    <t>meliovodhoz@mv.ru</t>
  </si>
  <si>
    <t>Емельянов Валерий Геннадьевич</t>
  </si>
  <si>
    <t>ООО "Исток"</t>
  </si>
  <si>
    <t>Общество с ограниченной ответственностью "Исток"</t>
  </si>
  <si>
    <t>7325123262</t>
  </si>
  <si>
    <t>1137325005190</t>
  </si>
  <si>
    <t>20552687</t>
  </si>
  <si>
    <t>432071, Ульяновская область, г. Ульяновск, ул. Радищева, дом 67</t>
  </si>
  <si>
    <t>+7951 097 06 60, факс  8(84254)2-00-80</t>
  </si>
  <si>
    <t>zemliul@mail.ru</t>
  </si>
  <si>
    <t>Шарапов Эмиль Нетфуллович</t>
  </si>
  <si>
    <t>ООО "Коммунальная служба района"</t>
  </si>
  <si>
    <t>Общество с ограниченной ответственностью "Коммунальная служба района"</t>
  </si>
  <si>
    <t>7309009234</t>
  </si>
  <si>
    <t>1217300014733</t>
  </si>
  <si>
    <t>58478605</t>
  </si>
  <si>
    <t>433750, Ульяновская область, г. Барыш, ул. Гоголя, д.68А, офис 8</t>
  </si>
  <si>
    <t>+7(84 253)2-17-15, (84 253)2-26-85(факс)</t>
  </si>
  <si>
    <t>ksbarysh@mail.ru</t>
  </si>
  <si>
    <t>Майоров Максим Олегович</t>
  </si>
  <si>
    <t>Генеральный руководитель</t>
  </si>
  <si>
    <t>ООО "Комстройсервис"</t>
  </si>
  <si>
    <t>Общество с ограниченной ответственностью "Комстройсервис"</t>
  </si>
  <si>
    <t>7313006420</t>
  </si>
  <si>
    <t>1097313000190</t>
  </si>
  <si>
    <t>87738317</t>
  </si>
  <si>
    <t>433870 Ульяновская обл., п.г.т.Новоспасское ул.Горшенина д.15</t>
  </si>
  <si>
    <t>+7(84 238)2-24-14; +7(84238)23277 (ф)</t>
  </si>
  <si>
    <t>nvkservis@mail.ru</t>
  </si>
  <si>
    <t>Киркачев Алексей Михайлович</t>
  </si>
  <si>
    <t>http://nvkservis.do.am</t>
  </si>
  <si>
    <t>ООО "КОМСТРОЙ-СЕРВИС"</t>
  </si>
  <si>
    <t>Общество с ограниченной ответственностью "КОМСТРОЙ-СЕРВИС"</t>
  </si>
  <si>
    <t>7300030506</t>
  </si>
  <si>
    <t>1247300002487</t>
  </si>
  <si>
    <t>98765579</t>
  </si>
  <si>
    <t>433870, Ульяновская область, Новоспасский р-н, рп Новоспасское, Аэродромная ул, зд. 21, помещ. 19</t>
  </si>
  <si>
    <t>+7(84238)2-32-77</t>
  </si>
  <si>
    <t>ks-servis24@mail.ru</t>
  </si>
  <si>
    <t>Милюков Андрей Владимирович</t>
  </si>
  <si>
    <t>диретор</t>
  </si>
  <si>
    <t>ООО "Недрозапас"</t>
  </si>
  <si>
    <t>Общество с ограниченной ответственностью "Недрозапас"</t>
  </si>
  <si>
    <t>7328062882</t>
  </si>
  <si>
    <t>1117328000558</t>
  </si>
  <si>
    <t>87782385</t>
  </si>
  <si>
    <t>432072, г. Ульяновск а/я 4252</t>
  </si>
  <si>
    <t>432072, г. Ульяновск, 9-й проезд Инженерный, 30Г</t>
  </si>
  <si>
    <t>+7(8422)25-08-10(ф)</t>
  </si>
  <si>
    <t>buh.2_sweter@mail.ru</t>
  </si>
  <si>
    <t>Евсеев Сергей Борисович</t>
  </si>
  <si>
    <t>ООО "Поселение"</t>
  </si>
  <si>
    <t>Общество с ограниченной ответственностью  "Поселение"</t>
  </si>
  <si>
    <t>7306038702</t>
  </si>
  <si>
    <t>1067306012575</t>
  </si>
  <si>
    <t>25536115</t>
  </si>
  <si>
    <t>433721, Ульяновская обл., Барышский район, р.п. Измайлово, ул. Гончарова, 19</t>
  </si>
  <si>
    <t>+79279849277; +7(8425) 54-197</t>
  </si>
  <si>
    <t>poselenie2011@mail.ru</t>
  </si>
  <si>
    <t>Куликов Александр Петрович</t>
  </si>
  <si>
    <t xml:space="preserve"> Директор</t>
  </si>
  <si>
    <t>http://измайлово-жкх.рф/</t>
  </si>
  <si>
    <t>ООО "Родник"</t>
  </si>
  <si>
    <t>Общество с ограниченной ответственностью "Родник"</t>
  </si>
  <si>
    <t>7329032288</t>
  </si>
  <si>
    <t>1197325018450</t>
  </si>
  <si>
    <t>42302301</t>
  </si>
  <si>
    <t>433556 Ульяновская область, Мелекесский район, р.п.Новая Майна, ул. Микрорайон, д.8, офис 4</t>
  </si>
  <si>
    <t>+7(84 235)78-5-12</t>
  </si>
  <si>
    <t>rodnikmaina@mail.ru</t>
  </si>
  <si>
    <t>Пургаева Светлана Викторовна</t>
  </si>
  <si>
    <t>ООО "Ростоки"</t>
  </si>
  <si>
    <t>Общество с ограниченной ответственностью "Ростоки"</t>
  </si>
  <si>
    <t>7321315083</t>
  </si>
  <si>
    <t>1097321000226</t>
  </si>
  <si>
    <t>87733257</t>
  </si>
  <si>
    <t>433341, Ульяновская область, Ульяновский район, с. Ундоры, санаторий им. В. И. Ленина</t>
  </si>
  <si>
    <t>+7(84254)6-18-38; +7(84254) 6-18-64</t>
  </si>
  <si>
    <t>rostoki@ulkurort.ru</t>
  </si>
  <si>
    <t>Гаркин Валерий Николаевич</t>
  </si>
  <si>
    <t>www.rostoki.ru</t>
  </si>
  <si>
    <t>ООО "Силикат+"</t>
  </si>
  <si>
    <t>Общество с ограниченной ответственностью "Силикат+"</t>
  </si>
  <si>
    <t>7313004278</t>
  </si>
  <si>
    <t>1057313008268</t>
  </si>
  <si>
    <t>25507711</t>
  </si>
  <si>
    <t>433870, Ульяновская область, р.п.Новоспасское, ул. Заводская, д.57</t>
  </si>
  <si>
    <t>+7(84 238)2-15-43, +7(927) 8067123</t>
  </si>
  <si>
    <t>firma73silikat@gmail.com</t>
  </si>
  <si>
    <t>Макаров Алексей Владимирович</t>
  </si>
  <si>
    <t>ytn</t>
  </si>
  <si>
    <t>ООО "Симбирск-СТеЛС"</t>
  </si>
  <si>
    <t>Общество с органиченной ответственностью "СМИБИРСК-СТЕЛС"</t>
  </si>
  <si>
    <t>7325083813</t>
  </si>
  <si>
    <t>1087325008044</t>
  </si>
  <si>
    <t>84284089</t>
  </si>
  <si>
    <t>433310 Ульяновская область, Ульяновский район, р.п. Ишеевка, ул. Новокомбинатовская д.5а, помещение 6</t>
  </si>
  <si>
    <t>+79603726842</t>
  </si>
  <si>
    <t>Осипов Алексей Иванович</t>
  </si>
  <si>
    <t>ООО "Система"</t>
  </si>
  <si>
    <t>Общество с ограниченной ответственностью "Система"</t>
  </si>
  <si>
    <t>7300032510</t>
  </si>
  <si>
    <t>1247300004490</t>
  </si>
  <si>
    <t>56568592</t>
  </si>
  <si>
    <t>433750, Ульяновская область, Барышский р-н, г Барыш, ул Гоголя, д. 68а, офис 5</t>
  </si>
  <si>
    <t>+7(84 253)2-17-15, 2-26-85</t>
  </si>
  <si>
    <t>KSBARYSH@MAIL.RU</t>
  </si>
  <si>
    <t>Патрушева Людмила Павловна</t>
  </si>
  <si>
    <t>ООО "СФЕРА"</t>
  </si>
  <si>
    <t>Общество с ограниченной ответственностью "Сфера"</t>
  </si>
  <si>
    <t>7327094909</t>
  </si>
  <si>
    <t>1207300006803</t>
  </si>
  <si>
    <t>432042, Ульяновская область, г. Ульяновск, ул. Александра Невского, д.2в, кв.137</t>
  </si>
  <si>
    <t>+7 9272707741</t>
  </si>
  <si>
    <t>ooo.sfera.73@mail.ru</t>
  </si>
  <si>
    <t>Резникова Мария Алексеевна</t>
  </si>
  <si>
    <t>ООО "Тимирязевское"</t>
  </si>
  <si>
    <t>Общество с ограниченой ответственностью "Тимирязевское"</t>
  </si>
  <si>
    <t>7321316143</t>
  </si>
  <si>
    <t>1107321000930</t>
  </si>
  <si>
    <t>87769491</t>
  </si>
  <si>
    <t>433315, Ульяновская область, Ульяновский р-н, п. Тимирязевский, ул. Капитана Каравашкина, д. 8в</t>
  </si>
  <si>
    <t>+7(842)34-4-18 (ф)  95-61-89</t>
  </si>
  <si>
    <t>timirgkh@mail.ru</t>
  </si>
  <si>
    <t>Петров Александр Геннадьевич</t>
  </si>
  <si>
    <t>ООО "УАЗ"</t>
  </si>
  <si>
    <t>ООО "Ульяновский автомобильный завод"</t>
  </si>
  <si>
    <t>7327077188</t>
  </si>
  <si>
    <t>1167325054082</t>
  </si>
  <si>
    <t>05808600</t>
  </si>
  <si>
    <t>432034, Российская Федерация, г. Ульяновск, ул. Московское шоссе, д. 92</t>
  </si>
  <si>
    <t>+7(8422) 40-60-70, 79-70-15(ф)</t>
  </si>
  <si>
    <t>mail@uaz.ru</t>
  </si>
  <si>
    <t>Швецов Вадим Аркадьевич</t>
  </si>
  <si>
    <t>Post.uaz.ru</t>
  </si>
  <si>
    <t>ООО "УЛЬЯНОВСКОБЛВОДОКАНАЛ"</t>
  </si>
  <si>
    <t>Общество с ограниченной ответственностью "Ульяновский областной водоканал"</t>
  </si>
  <si>
    <t>7728778215</t>
  </si>
  <si>
    <t>732945001</t>
  </si>
  <si>
    <t>1117746565551</t>
  </si>
  <si>
    <t>66495322</t>
  </si>
  <si>
    <t>433508, Ульяновская область, г.Димитровград, ул.Куйбышева, 150</t>
  </si>
  <si>
    <t>Ульяновская область, г. Ульяновск, ул. Спасская, д.8, офис 213</t>
  </si>
  <si>
    <t>+7(84235) 2-72-58, 2-68-93</t>
  </si>
  <si>
    <t>ooouov@gmail.com</t>
  </si>
  <si>
    <t>Сухотерин Леонид Янкович</t>
  </si>
  <si>
    <t>http://ulcomsys.ru/</t>
  </si>
  <si>
    <t>СПК "Искра"</t>
  </si>
  <si>
    <t>Сельскохозяйственный производственный кооператив "Искра"</t>
  </si>
  <si>
    <t>7304000213</t>
  </si>
  <si>
    <t>730401001</t>
  </si>
  <si>
    <t>1027300515351</t>
  </si>
  <si>
    <t>3695652</t>
  </si>
  <si>
    <t>1 41 55 | Кооперативные хозяйства (коопхозы)</t>
  </si>
  <si>
    <t>433732 Ульяновская область Барышский район с.Павловка ул.Центральная</t>
  </si>
  <si>
    <t xml:space="preserve"> +7,(84 253)48141;+7(84253) 48-1-44 (ф)</t>
  </si>
  <si>
    <t xml:space="preserve"> iskrash@yandex.ru</t>
  </si>
  <si>
    <t>Большаков Николай Александрович</t>
  </si>
  <si>
    <t>Председатель</t>
  </si>
  <si>
    <t>СПК (колхоз) "Белоярский"</t>
  </si>
  <si>
    <t>Сельскохозяйственный производственный кооператив (колхоз) "Белоярский"</t>
  </si>
  <si>
    <t>7323000868</t>
  </si>
  <si>
    <t>1027301108746</t>
  </si>
  <si>
    <t>581043</t>
  </si>
  <si>
    <t>1 41 53 | Сельскохозяйственные артели (колхозы)</t>
  </si>
  <si>
    <t>433423, Ульяновская область, Чердаклинский район, п. Вислая Дубрава</t>
  </si>
  <si>
    <t>+7(84 231)52-2-34, +7(84 231)52-2-37</t>
  </si>
  <si>
    <t>svetlana_tos@mail.ru</t>
  </si>
  <si>
    <t>Миндеров В.С.</t>
  </si>
  <si>
    <t>УМУП "Ульяновскводоканал"</t>
  </si>
  <si>
    <t>УЛЬЯНОВСКОЕ МУНИЦИПАЛЬНОЕ УНИТАРНОЕ ПРЕДПРИЯТИЕ ВОДОПРОВОДНО-КАНАЛИЗАЦИОННОГО ХОЗЯЙСТВА "УЛЬЯНОВСКВОДОКАНАЛ"</t>
  </si>
  <si>
    <t>7303005240</t>
  </si>
  <si>
    <t>1027301172458</t>
  </si>
  <si>
    <t>03307514</t>
  </si>
  <si>
    <t>432011, Ульяновская обл., г. Ульяновск, ул. Островского, д.6</t>
  </si>
  <si>
    <t>+7(8422)27-33-42  +7(8422)31-10-37(ф)</t>
  </si>
  <si>
    <t>uvk@mv.ru</t>
  </si>
  <si>
    <t>Савельев Сергей Петрович</t>
  </si>
  <si>
    <t>http://www.ulvodokanal.ru/</t>
  </si>
  <si>
    <t>"Филиал ПАО "Авиационный комплекс им. С.В. Ильюшина" - Авиастар"</t>
  </si>
  <si>
    <t>"Филиал Публичного акционерного общества "Авиационный комплекс им. С.В. Ильюшина" - Авиастар"</t>
  </si>
  <si>
    <t>7714027882</t>
  </si>
  <si>
    <t>732843001</t>
  </si>
  <si>
    <t>1027739118659</t>
  </si>
  <si>
    <t>07545613</t>
  </si>
  <si>
    <t>432072, РФ, Ульяновская область, г. Ульяновск, пр-кт Антонова, д. 1.</t>
  </si>
  <si>
    <t>125190, РФ, г. Москва, Ленинградский проспект, д.45 "Г"</t>
  </si>
  <si>
    <t>Шереметов Сергей Константинович</t>
  </si>
  <si>
    <t>Филиал "Ульяновская дамба" ФГБУ "Центррегионводхоз"</t>
  </si>
  <si>
    <t>Филиал "Ульяновская дамба" федерального государственного бюджетного водохозяйственного учреждения "Центррегионводхоз"</t>
  </si>
  <si>
    <t>5008028127</t>
  </si>
  <si>
    <t>1027739504528</t>
  </si>
  <si>
    <t>90898341</t>
  </si>
  <si>
    <t>7 51 03 | Федеральные государственные бюджетные учреждения</t>
  </si>
  <si>
    <t>432007, г. Ульяновск, ул. Академика Сахарова д.2в</t>
  </si>
  <si>
    <t>+7(8422)53-59-69</t>
  </si>
  <si>
    <t>73damba@mail.ru</t>
  </si>
  <si>
    <t>Саховский Андрей Владимирович</t>
  </si>
  <si>
    <t>Филиал "Ульяновский" ПАО "Т Плюс"</t>
  </si>
  <si>
    <t>Филиал "Ульяновский" Публичное акционерное общество "Т Плюс"</t>
  </si>
  <si>
    <t>6315376946</t>
  </si>
  <si>
    <t>732743001</t>
  </si>
  <si>
    <t>1056315070350</t>
  </si>
  <si>
    <t>87793271</t>
  </si>
  <si>
    <t>432042, г. Ульяновск, ул. Промышленная, д.5</t>
  </si>
  <si>
    <t>+7(8422)618359, 8(8422)618391</t>
  </si>
  <si>
    <t>info-ultgk@ies-holding.com</t>
  </si>
  <si>
    <t>Трубчанин Валентин Анатольевич</t>
  </si>
  <si>
    <t>http://www.votgk.ru</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</si>
  <si>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</si>
  <si>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</si>
  <si>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</si>
  <si>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</si>
  <si>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</si>
  <si>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</si>
  <si>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г. Москва, ул. Спартаковская, 2Б</t>
  </si>
  <si>
    <t>922-292-75-35, 922-292-75-09</t>
  </si>
  <si>
    <t>info@cvo.zhky.ru</t>
  </si>
  <si>
    <t>Бурмистров Алексей Николаевич</t>
  </si>
  <si>
    <t>ВРИО начальника филиала ФГБУ "ЦЖКУ" МО по ЦВО</t>
  </si>
  <si>
    <t>VO</t>
  </si>
  <si>
    <t>АО "Корпорация развития Ульяновской области"</t>
  </si>
  <si>
    <t>Акционерное общество "Корпорация развития Ульяновской области"</t>
  </si>
  <si>
    <t>7325081245</t>
  </si>
  <si>
    <t>1087325005481</t>
  </si>
  <si>
    <t>25365487</t>
  </si>
  <si>
    <t>432071, г. Ульяновск, ул. Рылеева, д. 41</t>
  </si>
  <si>
    <t>+7(8422)444573(ф)</t>
  </si>
  <si>
    <t>info@ulregion.com</t>
  </si>
  <si>
    <t>Васин Сергей Николаевич</t>
  </si>
  <si>
    <t>АО "Ульяновсккурорт"</t>
  </si>
  <si>
    <t>Акционерное общество  "Ульяновсккурорт"</t>
  </si>
  <si>
    <t>7325007322</t>
  </si>
  <si>
    <t>1027301171094</t>
  </si>
  <si>
    <t>2590678</t>
  </si>
  <si>
    <t>433341, Россия Ульяновская область, Ульяновский район, с. Ундоры, санаторий им. В.И. Ленина</t>
  </si>
  <si>
    <t>+7(84254)61888, +7(84254)61-8-64</t>
  </si>
  <si>
    <t>post@ulkurort,ru</t>
  </si>
  <si>
    <t>http://www.ulkurort.ru/</t>
  </si>
  <si>
    <t>ОГАУСО СРЦ ИМ. ЧУЧКАЛОВА</t>
  </si>
  <si>
    <t>Областное государственное автономное учреждение социального обслуживания "Социально-реабилитационный центр им. Е.М. Чучкалова"</t>
  </si>
  <si>
    <t>7321020403</t>
  </si>
  <si>
    <t>1027301056430</t>
  </si>
  <si>
    <t>25331436</t>
  </si>
  <si>
    <t>433341,Ульяновская область, Ульяновский район,с. Ундоры</t>
  </si>
  <si>
    <t>+7(84254) 61911(ф) +7(84254) 61809</t>
  </si>
  <si>
    <t>reabilitorc@mail.ru</t>
  </si>
  <si>
    <t>Валиева Ирина Викторовна</t>
  </si>
  <si>
    <t>Ulorc.ru</t>
  </si>
  <si>
    <t>ООО "Евроизол"</t>
  </si>
  <si>
    <t>Общество с ограниченной ответственностью "Евроизол"</t>
  </si>
  <si>
    <t>6313131299</t>
  </si>
  <si>
    <t>1046300222022</t>
  </si>
  <si>
    <t>70932930</t>
  </si>
  <si>
    <t>432045, Ульяновская область, г. Ульяновск, Московское шоссе, дом 30, стр.1</t>
  </si>
  <si>
    <t>+7(8422)649733(ф)</t>
  </si>
  <si>
    <t>info@euroizol-termo.ru</t>
  </si>
  <si>
    <t>Долинер Геннадий Валерьевич</t>
  </si>
  <si>
    <t>ООО "ЖКХ Сервис"</t>
  </si>
  <si>
    <t>Общество с ограниченной ответственностью "ЖКХ Сервис"</t>
  </si>
  <si>
    <t>7329003463</t>
  </si>
  <si>
    <t>1117329001008</t>
  </si>
  <si>
    <t>87784355</t>
  </si>
  <si>
    <t>433550, Ульяновская область, Мелекесский р-н, р.п. Мулловка, ул. Красноармейская, 144</t>
  </si>
  <si>
    <t>+7(84235)92-2-05, 92-6-74</t>
  </si>
  <si>
    <t>oooservis-2016@mail.ru</t>
  </si>
  <si>
    <t>Евсеев Вячеслав Васильевич</t>
  </si>
  <si>
    <t>7315905140</t>
  </si>
  <si>
    <t>1057313008631</t>
  </si>
  <si>
    <t>25511109</t>
  </si>
  <si>
    <t>433912 Ульяновская область, Радищевский район, п. Октябрьский, ул. Мира-19</t>
  </si>
  <si>
    <t>433912 Ульяновская область, Радищевский район, п. Октябрьский, ул. Ленина</t>
  </si>
  <si>
    <t>+7(84 239) 46-3-95,  +7(884239)46-4-21(ф)</t>
  </si>
  <si>
    <t>komctroi@mail.ru</t>
  </si>
  <si>
    <t>Зюкуев Евгений Павлович</t>
  </si>
  <si>
    <t>ООО "Силикат"</t>
  </si>
  <si>
    <t>Общество с ограниченной ответственностью "Силикат"</t>
  </si>
  <si>
    <t>7313003676</t>
  </si>
  <si>
    <t>1037300600600</t>
  </si>
  <si>
    <t>25454908</t>
  </si>
  <si>
    <t>433870, Ульяновская обл., р.п.. Новоспасское ,ул. Заводская,57</t>
  </si>
  <si>
    <t>+7(84 238) 21 5 43; +7 (84-238) 2-15-44(ф)</t>
  </si>
  <si>
    <t>firmasilicat@rambler.ru</t>
  </si>
  <si>
    <t>Солдатов Александр Иванович</t>
  </si>
  <si>
    <t>www.silikat-73.ru</t>
  </si>
  <si>
    <t>ООО "СТРОИМ ДОМ"</t>
  </si>
  <si>
    <t>ОБЩЕСТВО С ОГРАНИЧЕННОЙ ОТВЕТСТВЕННОСТЬЮ "СТРОИМ ДОМ"</t>
  </si>
  <si>
    <t>7300020480</t>
  </si>
  <si>
    <t>1237300006800</t>
  </si>
  <si>
    <t>53208657</t>
  </si>
  <si>
    <t>432008, Ульяновская область, г Ульяновск, Западный б-р, д. 27, офис 305</t>
  </si>
  <si>
    <t>+7 917-619-39-62</t>
  </si>
  <si>
    <t>ooostroim.dom@mail.ru</t>
  </si>
  <si>
    <t>Чумаков Игорь Викторович</t>
  </si>
  <si>
    <t>TE</t>
  </si>
  <si>
    <t>АО "Спектр-Авиа"</t>
  </si>
  <si>
    <t>Акционерное общество "Спектр-Авиа"</t>
  </si>
  <si>
    <t>7323006644</t>
  </si>
  <si>
    <t>1037300901945</t>
  </si>
  <si>
    <t>25418858</t>
  </si>
  <si>
    <t>Россия, 433400, Ульяновская область, Чердаклинский район</t>
  </si>
  <si>
    <t>+7(8422) 28 77 02, 28-77-60, 28-79-54, 28-78-64(ф)</t>
  </si>
  <si>
    <t>spektraviafin@mail.ru</t>
  </si>
  <si>
    <t>Карташов Сергей Петрович</t>
  </si>
  <si>
    <t>АО "УКБП"</t>
  </si>
  <si>
    <t>Акционерное Общество "Ульяновское конструкторское бюро приборостроения"</t>
  </si>
  <si>
    <t>7303005071</t>
  </si>
  <si>
    <t>1027301160798</t>
  </si>
  <si>
    <t>07546015</t>
  </si>
  <si>
    <t>432071, г. Ульяновск, ул. Крымова, 10а</t>
  </si>
  <si>
    <t>+7(8422)43-43-76,41-33-84(ф)</t>
  </si>
  <si>
    <t>inbox@ukbp.ru</t>
  </si>
  <si>
    <t>Мартыненко Даниил Вячеславович</t>
  </si>
  <si>
    <t>www.ukbp.ru</t>
  </si>
  <si>
    <t>АО "Ульяновский патронный завод"</t>
  </si>
  <si>
    <t>Акционерное общество "Ульяновский патронный завод"</t>
  </si>
  <si>
    <t>7328500127</t>
  </si>
  <si>
    <t>1047301521520</t>
  </si>
  <si>
    <t>25476376</t>
  </si>
  <si>
    <t>432007, г.Ульяновск, ул.Шоферов, 1</t>
  </si>
  <si>
    <t>+7(8422)269555; +7(8422) 26-97-12(ф)</t>
  </si>
  <si>
    <t>info@ulnammo.ru</t>
  </si>
  <si>
    <t>Вотяков Александр Анатольевич</t>
  </si>
  <si>
    <t>http://ulnammo.ru</t>
  </si>
  <si>
    <t>АО "Ульяновский сахарный завод"</t>
  </si>
  <si>
    <t>Акционерное общество "Ульяновский сахарный завод"</t>
  </si>
  <si>
    <t>7322002100</t>
  </si>
  <si>
    <t>732201001</t>
  </si>
  <si>
    <t>1027301055770</t>
  </si>
  <si>
    <t>00336131</t>
  </si>
  <si>
    <t>433600, Ульяновская область, р.п. Цильна,  ул.О. Кошевого, 2</t>
  </si>
  <si>
    <t>+7(84-245)3-10-45; 3-10-96</t>
  </si>
  <si>
    <t>uszros@mv.ru</t>
  </si>
  <si>
    <t>Чекунов Олег Владимирович</t>
  </si>
  <si>
    <t>Директор по экономике и финансам</t>
  </si>
  <si>
    <t>www.ulcaxap.ru</t>
  </si>
  <si>
    <t>ГУЗ Детский противотуберкулезный санаторий "Белое Озеро"</t>
  </si>
  <si>
    <t>Государственное учреждение здравоохранения Детский противотуберкулезный санаторий "Белое Озеро"</t>
  </si>
  <si>
    <t>7311000359</t>
  </si>
  <si>
    <t>1027300828873</t>
  </si>
  <si>
    <t>25268422</t>
  </si>
  <si>
    <t>7 52 03 | Государственные бюджетные учреждения субъектов Российской Федерации</t>
  </si>
  <si>
    <t>+7 (84 247)2-34-42, +7 9276300933</t>
  </si>
  <si>
    <t>Березин Сергей Геннадьевич</t>
  </si>
  <si>
    <t>МБУ «Городской центр по благоустройству и озеленению г. Ульяновска»</t>
  </si>
  <si>
    <t>Муниципальное бюджетное учреждение «Городской центр по благоустройству и озеленению г. Ульяновска»</t>
  </si>
  <si>
    <t>7326045754</t>
  </si>
  <si>
    <t>732601001</t>
  </si>
  <si>
    <t>1147326000513</t>
  </si>
  <si>
    <t>05198515</t>
  </si>
  <si>
    <t>7 54 03 | Муниципальные бюджетные учреждения</t>
  </si>
  <si>
    <t>432012, Россия, г. Ульяновск, ул. Локомотивная, д. 85</t>
  </si>
  <si>
    <t>+7(84 22)35-81-34</t>
  </si>
  <si>
    <t>mau73@list.ru</t>
  </si>
  <si>
    <t>Моргунов Геннадий Алексеевич</t>
  </si>
  <si>
    <t>МБУ "Юг - Сервис"</t>
  </si>
  <si>
    <t>Муниципальное бюджетное учреждение "ЮГ-Север"</t>
  </si>
  <si>
    <t>7313007751</t>
  </si>
  <si>
    <t>1137313000043</t>
  </si>
  <si>
    <t>87813281</t>
  </si>
  <si>
    <t>433870, Ульяновская область, р.п.Новоспасское, ул.Горшенина, 15</t>
  </si>
  <si>
    <t>+7 (84 238)2-15-75</t>
  </si>
  <si>
    <t>ugservis2013@mail.ru, kommun7373@mail.ru</t>
  </si>
  <si>
    <t>Ткаченко Юрий Николаевич</t>
  </si>
  <si>
    <t>МУП "БарышЭнергоСервис"</t>
  </si>
  <si>
    <t>Муниципальное унитарное предприятие "БарышЭнергоСервис"</t>
  </si>
  <si>
    <t>7309005656</t>
  </si>
  <si>
    <t>1157309000353</t>
  </si>
  <si>
    <t>20552552</t>
  </si>
  <si>
    <t>433750, Ульяновская область, г. Барыш, ул. Тростинского, д.3</t>
  </si>
  <si>
    <t>+7(84253) 22306, 21-1-58, 22-7-76</t>
  </si>
  <si>
    <t>mup.bes@yandex.ru</t>
  </si>
  <si>
    <t>Рыбаков Юрий Константиновичь</t>
  </si>
  <si>
    <t>И.О. Директора</t>
  </si>
  <si>
    <t>МУП "Гортепло"</t>
  </si>
  <si>
    <t>Муниципальное унитарное предприятие "Гортепло"</t>
  </si>
  <si>
    <t>7302003297</t>
  </si>
  <si>
    <t>730201001</t>
  </si>
  <si>
    <t>1027300535074</t>
  </si>
  <si>
    <t>12559161</t>
  </si>
  <si>
    <t>433505, Ульяновская область, г. Димитровград, ул. Чайкиной, д. 12</t>
  </si>
  <si>
    <t>433508, Ульяновская область, г.Димитровград, ул.Аблова, д. 102</t>
  </si>
  <si>
    <t>8(84 235)5-00-03</t>
  </si>
  <si>
    <t>gortehlo2012@yandex.ru</t>
  </si>
  <si>
    <t>Трофимов Алексей Валерьевич</t>
  </si>
  <si>
    <t>http://gorteplo2012.ru/</t>
  </si>
  <si>
    <t>МУП "Димитровградские коммунальные ресурсы"</t>
  </si>
  <si>
    <t>Муниципальное унитароне предприятие "Димитровградские коммунальные ресурсы"</t>
  </si>
  <si>
    <t>7302016391</t>
  </si>
  <si>
    <t>1027300546228</t>
  </si>
  <si>
    <t>2586495</t>
  </si>
  <si>
    <t>433508, Россия, Ульяновская область, г. Димитровград, ул. Гагарина, д. 16</t>
  </si>
  <si>
    <t>+7(84 235)6-00-03, 6-48-90, 8842356-93-19(ф)</t>
  </si>
  <si>
    <t>mup.dkr@yandex.ru</t>
  </si>
  <si>
    <t>Королев Сергей Васильевич</t>
  </si>
  <si>
    <t>МУП "РСУ" р.п. Карсун</t>
  </si>
  <si>
    <t>Муниципальное унитарное предприятие  "Ремонтно-строительный участок"</t>
  </si>
  <si>
    <t>7309903709</t>
  </si>
  <si>
    <t>1067309013166</t>
  </si>
  <si>
    <t>25275436</t>
  </si>
  <si>
    <t>433210 Ульяновская область, р.п. Карсун, ул. Гусева, 69</t>
  </si>
  <si>
    <t>+7(84 246)22-6-88; +7(84 246)22-8-34 (ф)</t>
  </si>
  <si>
    <t>muprsu.karsun@mail.ru</t>
  </si>
  <si>
    <t>Фейсканов Али Тагирович</t>
  </si>
  <si>
    <t>ОГАУСО ДИ в г. Димитровграде</t>
  </si>
  <si>
    <t>Областное государственное автономное учреждение социального обслуживания « Дом-интернат для престарелых и инвалидов в г. Димитровграде»</t>
  </si>
  <si>
    <t>7302011964</t>
  </si>
  <si>
    <t>1027300543896</t>
  </si>
  <si>
    <t>03158262</t>
  </si>
  <si>
    <t>7 51 01 | Федеральные государственные автономные учреждения</t>
  </si>
  <si>
    <t>433534, Россия, Ульяновская область, Мелекесский район, с. Никольское-на-Черемшане, ул. Мира, д.90</t>
  </si>
  <si>
    <t>433511, РФ, Ульяновская область, г. Димитровград, ул. Куйбышева, д.333</t>
  </si>
  <si>
    <t>+7(84235)95-2-59 (ф)</t>
  </si>
  <si>
    <t>Dimdom2011@mail.ru, Nicolsk.dom@yandex.ru</t>
  </si>
  <si>
    <t>Сергеева Алла Александровна</t>
  </si>
  <si>
    <t>ОГКП "АСК"</t>
  </si>
  <si>
    <t>Областное Государственное Казенное Предприятие "Агентство Стратегического Консалтинга"</t>
  </si>
  <si>
    <t>7303003892</t>
  </si>
  <si>
    <t>1027301177958</t>
  </si>
  <si>
    <t>03049834</t>
  </si>
  <si>
    <t>432017, Ульяновская область, город Ульяновск, Спасская ул., д. 3</t>
  </si>
  <si>
    <t>+7(84 22)73-79-31</t>
  </si>
  <si>
    <t>ask_73@bk.ru</t>
  </si>
  <si>
    <t>Галяутдинов Асхат Хузязянович</t>
  </si>
  <si>
    <t>ОГКП "Корпорация развития коммунального комплекса Ульяновской области"</t>
  </si>
  <si>
    <t>Областное государственное казенное предприятие "Корпорация развития коммунального комплекса Ульяновской области"</t>
  </si>
  <si>
    <t>7316000218</t>
  </si>
  <si>
    <t>1027300930678</t>
  </si>
  <si>
    <t>243905973</t>
  </si>
  <si>
    <t>432063, Ульяновская обл., г. Ульяновск, ул. Ленина, д. 5</t>
  </si>
  <si>
    <t>432017, Ульяновская обл., г. Ульяновск, ул. Ленина, д. 5</t>
  </si>
  <si>
    <t>+7(84 22)37-01-94; +7(84 22)37-01-95(ф)</t>
  </si>
  <si>
    <t>Кашников Константин Николаевич</t>
  </si>
  <si>
    <t>oblkomhoz@gmail.com</t>
  </si>
  <si>
    <t>ООО "Аврора +"</t>
  </si>
  <si>
    <t>Общество с ограниченной ответственностью "АВРОРА ПЛЮС"</t>
  </si>
  <si>
    <t>7302030607</t>
  </si>
  <si>
    <t>1057302038573</t>
  </si>
  <si>
    <t>25495267</t>
  </si>
  <si>
    <t>433503, Ульяновская область, г. Димитровград, ул. Калугина, д. 48</t>
  </si>
  <si>
    <t>+7(84 235)2-92-39 (ф)</t>
  </si>
  <si>
    <t>a29148@mail.ru</t>
  </si>
  <si>
    <t>Шульга Марк Евгеньевич</t>
  </si>
  <si>
    <t>dmfavrora.ru</t>
  </si>
  <si>
    <t>ООО "Альфаресурс"</t>
  </si>
  <si>
    <t>Общество с ограниченной ответственностью  "Альфаресурс"</t>
  </si>
  <si>
    <t>7321008244</t>
  </si>
  <si>
    <t>1197325010838</t>
  </si>
  <si>
    <t>40322601</t>
  </si>
  <si>
    <t>432044, Ульяновская обл., г. Ульяновск, ул. Луначарского, д. 26 кв. 75</t>
  </si>
  <si>
    <t>aldan661@mail.ru</t>
  </si>
  <si>
    <t>Жукович Анастасия Сергеевна</t>
  </si>
  <si>
    <t>Управляющий директор</t>
  </si>
  <si>
    <t>ООО "Инвестиционная сервисная компания"</t>
  </si>
  <si>
    <t>Общество с ограниченной ответственностью "Инвестиционная сервисная компания"</t>
  </si>
  <si>
    <t>7734434340</t>
  </si>
  <si>
    <t>773401001</t>
  </si>
  <si>
    <t>1207700159017</t>
  </si>
  <si>
    <t>01407867</t>
  </si>
  <si>
    <t>432030, г. Ульяновск, ул. Юности д.5, оф.503</t>
  </si>
  <si>
    <t>123308, г. Москва, 3-я Хорошёвская ул., д.2,стр.1</t>
  </si>
  <si>
    <t>+7(983)2162153, +7(927)809 55 37, +7(985) 8808571</t>
  </si>
  <si>
    <t>info@isk-yluanovsk.ru</t>
  </si>
  <si>
    <t>Макеев Абдул-Бари Ханяфиевич</t>
  </si>
  <si>
    <t>Директор обособленного подразделения "Ульяновское"</t>
  </si>
  <si>
    <t>ООО "ИНТЕР-ЭНЕРГО-ТРАСТ"</t>
  </si>
  <si>
    <t>Общество с ограниченной ответственностью "ИНТЕР-ЭНЕРГО-ТРАСТ"</t>
  </si>
  <si>
    <t>7326053466</t>
  </si>
  <si>
    <t>1167325065412</t>
  </si>
  <si>
    <t>03617267</t>
  </si>
  <si>
    <t>432012, Ульяновская область, г.Ульяновск, ул. Луначарского 26-75</t>
  </si>
  <si>
    <t>+7 (233) 182-77-34, 8+7(987) 639-58-57</t>
  </si>
  <si>
    <t>А.С.Жукович</t>
  </si>
  <si>
    <t>ООО "КИТ-Энергия"</t>
  </si>
  <si>
    <t>Общество с ограниченной ответственностью "КИТ-Энергия"</t>
  </si>
  <si>
    <t>7326055311</t>
  </si>
  <si>
    <t>1177325006440</t>
  </si>
  <si>
    <t>13675886</t>
  </si>
  <si>
    <t>432063 г. Ульяновск, ул.Кирова, д.77 офис3</t>
  </si>
  <si>
    <t>rubusgruppe@gmail.com</t>
  </si>
  <si>
    <t>Носков Сергей Леонидович</t>
  </si>
  <si>
    <t>ООО "Континент"</t>
  </si>
  <si>
    <t>Общество с ограниченной ответственностью "Континент"</t>
  </si>
  <si>
    <t>7325131513</t>
  </si>
  <si>
    <t>1147325005728</t>
  </si>
  <si>
    <t>Россия, 432071  г. Ульяновск, ул. Энтузиастов 1А</t>
  </si>
  <si>
    <t>+7(8422)63-46-91, 674708(ф), +7(8937) 4547002</t>
  </si>
  <si>
    <t>cla04@mail.ru</t>
  </si>
  <si>
    <t>ООО "Ресурс"</t>
  </si>
  <si>
    <t>Общество с ограниченной ответственностью "Ресурс"</t>
  </si>
  <si>
    <t>7302027033</t>
  </si>
  <si>
    <t>1047300100605</t>
  </si>
  <si>
    <t>25464203</t>
  </si>
  <si>
    <t>433513,РФ,Ульяновская область, г.Димитровград, пр.Автостроителей,78</t>
  </si>
  <si>
    <t>+7(84 235) 4-56-50; +7 (84235) 4-56-52</t>
  </si>
  <si>
    <t>resurs06@rambler.ru</t>
  </si>
  <si>
    <t>http:/www.resurs-d-d.h16.ru</t>
  </si>
  <si>
    <t>ООО "Север Газ"</t>
  </si>
  <si>
    <t>Общество с ограниченной ответственностью "Север Газ"</t>
  </si>
  <si>
    <t>7325159244</t>
  </si>
  <si>
    <t>1187325005592</t>
  </si>
  <si>
    <t>28042034</t>
  </si>
  <si>
    <t>432071, Ульяновская область, г. Ульяновск, ул. Корюкина, д.8</t>
  </si>
  <si>
    <t>+7(8422)44-11-51</t>
  </si>
  <si>
    <t>severgaz18@mail.ru, sever-gaz@bk.ru</t>
  </si>
  <si>
    <t>northgaz73.ru</t>
  </si>
  <si>
    <t>ООО "Теплогенерирующая компания"</t>
  </si>
  <si>
    <t>7327071644</t>
  </si>
  <si>
    <t>1147327000875</t>
  </si>
  <si>
    <t>25219716</t>
  </si>
  <si>
    <t>432045, город Ульяновск, улица Станкостроителей, дом 8, офис 70</t>
  </si>
  <si>
    <t>+7(927) 8385012</t>
  </si>
  <si>
    <t>dunaewa99@gmail.com</t>
  </si>
  <si>
    <t>Дунаева Ольга Михайловна</t>
  </si>
  <si>
    <t>ООО Теплоснабжающая компания «Азбука быта»</t>
  </si>
  <si>
    <t>4345506148</t>
  </si>
  <si>
    <t>434501001</t>
  </si>
  <si>
    <t>1204300010166</t>
  </si>
  <si>
    <t>ул. Воровского, д.37 г. Киров, 610002</t>
  </si>
  <si>
    <t>(8332) 76-07-96</t>
  </si>
  <si>
    <t>Зайков Николай Иванович</t>
  </si>
  <si>
    <t>ООО УК "Авион"</t>
  </si>
  <si>
    <t>Общество с ограниченной ответственностью</t>
  </si>
  <si>
    <t>7326036774</t>
  </si>
  <si>
    <t>1107326001200</t>
  </si>
  <si>
    <t>87763146</t>
  </si>
  <si>
    <t>432012, г. Ульяновск, ул. Державина, д.9а</t>
  </si>
  <si>
    <t>+7(8422)38-79-47(ф)</t>
  </si>
  <si>
    <t>Девина Галина Николаевна</t>
  </si>
  <si>
    <t>ООО "Управление домами"</t>
  </si>
  <si>
    <t>Общество с ограниченной ответственностью "Упраление домами"</t>
  </si>
  <si>
    <t>7302030710</t>
  </si>
  <si>
    <t>1057302040003</t>
  </si>
  <si>
    <t>Ульяновская область, г.Димитровград, ул.Московская, д.60 А</t>
  </si>
  <si>
    <t>8(84235) 6-95-56, 6-95-51</t>
  </si>
  <si>
    <t>upravdom-73@mail.ru</t>
  </si>
  <si>
    <t>Коцюк Игорь Анатольевич</t>
  </si>
  <si>
    <t>ООО "Элегант"</t>
  </si>
  <si>
    <t>Общество с ограниченной ответственностью "Элегант"</t>
  </si>
  <si>
    <t>7325128528</t>
  </si>
  <si>
    <t>1147325002714</t>
  </si>
  <si>
    <t>432011, г.Ульяновск, ул.Радищева 39</t>
  </si>
  <si>
    <t xml:space="preserve"> 8 (8422) 586800</t>
  </si>
  <si>
    <t>office@elegant-73.ru, kharitonova.ov@elegant-73.ru</t>
  </si>
  <si>
    <t>Харитонова Ольга Витальевна</t>
  </si>
  <si>
    <t>УМУП "Городская теплосеть"</t>
  </si>
  <si>
    <t>Ульяновское муниципальное унитарное предприятие "Городская теплосеть"</t>
  </si>
  <si>
    <t>7303026603</t>
  </si>
  <si>
    <t>1027301171380</t>
  </si>
  <si>
    <t>25422676</t>
  </si>
  <si>
    <t>432071, Ульяновская область, г.Ульяновск, Пер.Молочный 11/27а</t>
  </si>
  <si>
    <t>+7(422)42-18-34; 8(422)32-10-93 (ф)</t>
  </si>
  <si>
    <t>сity_teploset@rambler.ru</t>
  </si>
  <si>
    <t>Парышев Александр Сергеевич</t>
  </si>
  <si>
    <t>www.ulteploset.ru</t>
  </si>
  <si>
    <t>УМУП "Городской теплосервис"</t>
  </si>
  <si>
    <t>Ульяновское муниципальное унитарное предприятие "Городской теплосервис"</t>
  </si>
  <si>
    <t>7303009485</t>
  </si>
  <si>
    <t>1027301171820</t>
  </si>
  <si>
    <t>03220110</t>
  </si>
  <si>
    <t>432700, Ульяновская область, г. Ульяновск, ул.  Карла Маркса, д.25</t>
  </si>
  <si>
    <t>432700, Ульяновская область, г. Ульяновск, ул. Карла Маркса, д.25</t>
  </si>
  <si>
    <t>+7(8422)421543; +7(8422) 446308(Ф)</t>
  </si>
  <si>
    <t>mdm@mv.ru</t>
  </si>
  <si>
    <t>Королёв Александр Николаевич</t>
  </si>
  <si>
    <t>www.ul-teploservis.ru</t>
  </si>
  <si>
    <t>УМУП "Теплоком"</t>
  </si>
  <si>
    <t>Ульяновское муниципальное унитарное предприятие "Теплоком"</t>
  </si>
  <si>
    <t>7328008028</t>
  </si>
  <si>
    <t>1027301577478</t>
  </si>
  <si>
    <t>20549490</t>
  </si>
  <si>
    <t>Россия, 432072, Ульяновская обл, Ульяновск г, Созидателей пр-кт, д. 62</t>
  </si>
  <si>
    <t>+7(84 22)50-04-99, +7(84 22)20-07-32 (ф)</t>
  </si>
  <si>
    <t>tk@mv.ru</t>
  </si>
  <si>
    <t>Кашин Игорь Александрович</t>
  </si>
  <si>
    <t>http://teplokom-ul.ru/</t>
  </si>
  <si>
    <t>ФГБОУ ВО УИ ГА</t>
  </si>
  <si>
    <t>Федеральное государственное бюджетное образовательное учреждение высшего образования "Ульяновский институт гражданской авиации имени Главного маршала авиации Б.П.Бугаева"</t>
  </si>
  <si>
    <t>7303002000</t>
  </si>
  <si>
    <t>1027301176627</t>
  </si>
  <si>
    <t>1132293</t>
  </si>
  <si>
    <t>432071, Россия, г. Ульяновск, ул. Можайского, 8/8</t>
  </si>
  <si>
    <t>+7(8422)398123</t>
  </si>
  <si>
    <t>uvau@list.ru</t>
  </si>
  <si>
    <t>Краснов Сергей Иванович</t>
  </si>
  <si>
    <t>Ректор училища</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</si>
  <si>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</si>
  <si>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</si>
  <si>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</si>
  <si>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</si>
  <si>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</si>
  <si>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</si>
  <si>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</si>
  <si>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</si>
  <si>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</si>
  <si>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</si>
  <si>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</si>
  <si>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</si>
  <si>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</si>
  <si>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</si>
  <si>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</si>
  <si>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</si>
  <si>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</si>
  <si>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</si>
  <si>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</si>
  <si>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</si>
  <si>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</si>
  <si>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</si>
  <si>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</si>
  <si>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</si>
  <si>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</si>
  <si>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</si>
  <si>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</si>
  <si>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</si>
  <si>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</si>
  <si>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</si>
  <si>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</si>
  <si>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</si>
  <si>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</si>
  <si>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</si>
  <si>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</si>
  <si>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</si>
  <si>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</si>
  <si>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</si>
  <si>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</si>
  <si>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</si>
  <si>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</si>
  <si>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</si>
  <si>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</si>
  <si>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</si>
  <si>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</si>
  <si>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</si>
  <si>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</si>
  <si>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</si>
  <si>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</si>
  <si>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</si>
  <si>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</si>
  <si>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</si>
  <si>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02 | Филиалы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</si>
  <si>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</si>
  <si>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</si>
  <si>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</si>
  <si>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</si>
  <si>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</si>
  <si>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</si>
  <si>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</si>
  <si>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</si>
  <si>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</si>
  <si>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</si>
  <si>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</si>
  <si>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</si>
  <si>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</si>
  <si>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</si>
  <si>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</si>
  <si>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</si>
  <si>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</si>
  <si>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</si>
  <si>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</si>
  <si>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</si>
  <si>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</si>
  <si>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</si>
  <si>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04 | Федеральные государственные казенные учреждения</t>
  </si>
  <si>
    <t>7 51 05 | Государственные внебюджетные фонды Российской Федерации</t>
  </si>
  <si>
    <t>7 53 00 | Государственные академии наук</t>
  </si>
  <si>
    <t>7 55 00 | Частные учреждения</t>
  </si>
  <si>
    <t>7 55 02 | Благотворительные учреждения</t>
  </si>
  <si>
    <t>7 55 05 | Общественные учреждения</t>
  </si>
  <si>
    <t>dopName</t>
  </si>
  <si>
    <t>Оказание услуг на территории: город Димитровград (ОКТМО: 73705000) - подключение к коллектору источника тепловой энергии</t>
  </si>
  <si>
    <t>Тариф: Носитель - горячая вода (Т); Носитель - отборный пар 7 - 13 кг/кв.см (Т) :: Котельная (СЦТ): Димитровград</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</si>
</sst>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41">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6"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49" fontId="89" fillId="34" borderId="11" xfId="0" applyFont="1" applyFill="1" applyBorder="1" applyNumberFormat="1">
      <alignment horizontal="left" vertical="center" wrapText="1" indent="1"/>
      <protection locked="0"/>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4"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a8a2b3ed-3268-4c3b-921a-408f002ba99c" TargetMode="External"/><Relationship Id="rId2" Type="http://schemas.openxmlformats.org/officeDocument/2006/relationships/hyperlink" Target="mailto:oxana.vavilina@yandex.ru" TargetMode="External"/><Relationship Id="rId3" Type="http://schemas.openxmlformats.org/officeDocument/2006/relationships/hyperlink" Target="https://portal.eias.ru/Portal/DownloadPage.aspx?type=12&amp;guid=bedc4dcf-6981-4b63-add0-67f46b9db92a" TargetMode="External"/><Relationship Id="rId4" Type="http://schemas.openxmlformats.org/officeDocument/2006/relationships/hyperlink" Target="mailto:oxana/vavilina@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4057BA-30A8-FEC8-BB58-C436013BE1D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A26CD8-9648-D558-730E-1880E9046E3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372</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Ульяновская область / 2026 / ООО "НИИАР-ГЕНЕРАЦИЯ" (ИНН:7329008990, КПП:732901001)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581</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95"/>
    </row>
    <row s="212" customFormat="1" customHeight="1" ht="14.625">
      <c r="A25" s="329"/>
      <c r="B25" s="789"/>
      <c r="C25" s="168"/>
      <c r="D25" s="168"/>
      <c r="E25" s="800">
        <v>15</v>
      </c>
      <c r="F25" s="168"/>
      <c r="T25" s="168"/>
      <c r="U25" s="168"/>
      <c r="V25" s="176"/>
      <c r="W25" s="168"/>
      <c r="X25" s="168"/>
      <c r="Y25" s="168"/>
      <c r="Z25" s="168"/>
      <c r="AB25" s="1450" t="s">
        <v>385</v>
      </c>
      <c r="AC25" s="1451" t="s">
        <v>427</v>
      </c>
      <c r="AD25" s="1441" t="s">
        <v>428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582</v>
      </c>
      <c r="BF25" s="1146"/>
    </row>
    <row s="212" customFormat="1" customHeight="1" ht="68.1525">
      <c r="A26" s="329"/>
      <c r="B26" s="789"/>
      <c r="C26" s="168"/>
      <c r="D26" s="168"/>
      <c r="E26" s="800">
        <v>69.9</v>
      </c>
      <c r="F26" s="168"/>
      <c r="T26" s="168"/>
      <c r="U26" s="168"/>
      <c r="V26" s="176"/>
      <c r="W26" s="168"/>
      <c r="X26" s="168"/>
      <c r="Y26" s="168"/>
      <c r="Z26" s="168"/>
      <c r="AB26" s="1450"/>
      <c r="AC26" s="1452"/>
      <c r="AD26" s="1441"/>
      <c r="AE26" s="167" t="s">
        <v>401</v>
      </c>
      <c r="AF26" s="1354" t="s">
        <v>583</v>
      </c>
      <c r="AG26" s="167" t="s">
        <v>584</v>
      </c>
      <c r="AH26" s="167" t="s">
        <v>401</v>
      </c>
      <c r="AI26" s="1355" t="s">
        <v>402</v>
      </c>
      <c r="AJ26" s="1355" t="s">
        <v>402</v>
      </c>
      <c r="AK26" s="1355" t="s">
        <v>402</v>
      </c>
      <c r="AL26" s="1355" t="s">
        <v>402</v>
      </c>
      <c r="AM26" s="1355" t="s">
        <v>402</v>
      </c>
      <c r="AN26" s="1355" t="s">
        <v>402</v>
      </c>
      <c r="AO26" s="1355" t="s">
        <v>402</v>
      </c>
      <c r="AP26" s="1355" t="s">
        <v>402</v>
      </c>
      <c r="AQ26" s="1355" t="s">
        <v>402</v>
      </c>
      <c r="AR26" s="1355" t="s">
        <v>402</v>
      </c>
      <c r="AS26" s="410" t="s">
        <v>401</v>
      </c>
      <c r="AT26" s="410" t="s">
        <v>401</v>
      </c>
      <c r="AU26" s="410" t="s">
        <v>401</v>
      </c>
      <c r="AV26" s="410" t="s">
        <v>401</v>
      </c>
      <c r="AW26" s="410" t="s">
        <v>401</v>
      </c>
      <c r="AX26" s="410" t="s">
        <v>401</v>
      </c>
      <c r="AY26" s="410" t="s">
        <v>401</v>
      </c>
      <c r="AZ26" s="410" t="s">
        <v>401</v>
      </c>
      <c r="BA26" s="410" t="s">
        <v>401</v>
      </c>
      <c r="BB26" s="410" t="s">
        <v>401</v>
      </c>
      <c r="BC26" s="1449"/>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311</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337</v>
      </c>
      <c r="AC29" s="160" t="s">
        <v>585</v>
      </c>
      <c r="AD29" s="166" t="s">
        <v>586</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587</v>
      </c>
    </row>
    <row customHeight="1" ht="16.672500000000003" hidden="1">
      <c r="E30" s="794">
        <v>17.1</v>
      </c>
      <c r="F30" s="920" cm="1" t="str">
        <f t="array" ref="F30:F30">OFFSET(G30,-1,-1)</f>
        <v>0</v>
      </c>
      <c r="T30" s="805" cm="1" t="str">
        <f t="array" ref="T30:T30">T29</f>
        <v>false</v>
      </c>
      <c r="AB30" s="154" t="str">
        <f>AB29&amp;".1"</f>
        <v>1.1</v>
      </c>
      <c r="AC30" s="161" t="s">
        <v>417</v>
      </c>
      <c r="AD30" s="166" t="s">
        <v>586</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588</v>
      </c>
    </row>
    <row customHeight="1" ht="16.672500000000003" hidden="1">
      <c r="E31" s="794">
        <v>17.1</v>
      </c>
      <c r="F31" s="920" cm="1" t="str">
        <f t="array" ref="F31:F31">OFFSET(G31,-1,-1)</f>
        <v>0</v>
      </c>
      <c r="T31" s="805" cm="1" t="str">
        <f t="array" ref="T31:T31">T30</f>
        <v>false</v>
      </c>
      <c r="AB31" s="154" t="str">
        <f>AB30&amp;".1"</f>
        <v>1.1.1</v>
      </c>
      <c r="AC31" s="559" t="s">
        <v>589</v>
      </c>
      <c r="AD31" s="166" t="s">
        <v>586</v>
      </c>
      <c r="AE31" s="75"/>
      <c r="AF31" s="75"/>
      <c r="AG31" s="75"/>
      <c r="AH31" s="75"/>
      <c r="AI31" s="296"/>
      <c r="AJ31" s="1732"/>
      <c r="AK31" s="1732"/>
      <c r="AL31" s="75"/>
      <c r="AM31" s="75"/>
      <c r="AN31" s="75"/>
      <c r="AO31" s="75"/>
      <c r="AP31" s="75"/>
      <c r="AQ31" s="75"/>
      <c r="AR31" s="75"/>
      <c r="AS31" s="296"/>
      <c r="AT31" s="1732"/>
      <c r="AU31" s="1732"/>
      <c r="AV31" s="75"/>
      <c r="AW31" s="75"/>
      <c r="AX31" s="75"/>
      <c r="AY31" s="75"/>
      <c r="AZ31" s="75"/>
      <c r="BA31" s="75"/>
      <c r="BB31" s="75"/>
      <c r="BC31" s="74"/>
      <c r="BF31" s="1196" t="s">
        <v>590</v>
      </c>
    </row>
    <row customHeight="1" ht="16.672500000000003" hidden="1">
      <c r="E32" s="794">
        <v>17.1</v>
      </c>
      <c r="F32" s="920" cm="1" t="str">
        <f t="array" ref="F32:F32">OFFSET(G32,-1,-1)</f>
        <v>0</v>
      </c>
      <c r="T32" s="805" cm="1" t="str">
        <f t="array" ref="T32:T32">T31</f>
        <v>false</v>
      </c>
      <c r="AB32" s="154" t="str">
        <f>AB30&amp;".2"</f>
        <v>1.1.2</v>
      </c>
      <c r="AC32" s="559" t="s">
        <v>591</v>
      </c>
      <c r="AD32" s="166" t="s">
        <v>586</v>
      </c>
      <c r="AE32" s="75"/>
      <c r="AF32" s="75"/>
      <c r="AG32" s="75"/>
      <c r="AH32" s="75"/>
      <c r="AI32" s="296"/>
      <c r="AJ32" s="1732"/>
      <c r="AK32" s="1732"/>
      <c r="AL32" s="75"/>
      <c r="AM32" s="75"/>
      <c r="AN32" s="75"/>
      <c r="AO32" s="75"/>
      <c r="AP32" s="75"/>
      <c r="AQ32" s="75"/>
      <c r="AR32" s="75"/>
      <c r="AS32" s="296"/>
      <c r="AT32" s="1732"/>
      <c r="AU32" s="1732"/>
      <c r="AV32" s="75"/>
      <c r="AW32" s="75"/>
      <c r="AX32" s="75"/>
      <c r="AY32" s="75"/>
      <c r="AZ32" s="75"/>
      <c r="BA32" s="75"/>
      <c r="BB32" s="75"/>
      <c r="BC32" s="74"/>
      <c r="BF32" s="1196" t="s">
        <v>592</v>
      </c>
    </row>
    <row customHeight="1" ht="16.672500000000003" hidden="1">
      <c r="E33" s="794">
        <v>17.1</v>
      </c>
      <c r="F33" s="920" cm="1" t="str">
        <f t="array" ref="F33:F33">OFFSET(G33,-1,-1)</f>
        <v>0</v>
      </c>
      <c r="T33" s="805" cm="1" t="str">
        <f t="array" ref="T33:T33">T32</f>
        <v>false</v>
      </c>
      <c r="AB33" s="154" t="str">
        <f>AB29&amp;".2"</f>
        <v>1.2</v>
      </c>
      <c r="AC33" s="161" t="s">
        <v>593</v>
      </c>
      <c r="AD33" s="166" t="s">
        <v>586</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594</v>
      </c>
    </row>
    <row customHeight="1" ht="16.672500000000003" hidden="1">
      <c r="E34" s="794">
        <v>17.1</v>
      </c>
      <c r="F34" s="920" cm="1" t="str">
        <f t="array" ref="F34:F34">OFFSET(G34,-1,-1)</f>
        <v>0</v>
      </c>
      <c r="T34" s="805" cm="1" t="str">
        <f t="array" ref="T34:T34">T33</f>
        <v>false</v>
      </c>
      <c r="AB34" s="154" t="str">
        <f>AB33&amp;".1"</f>
        <v>1.2.1</v>
      </c>
      <c r="AC34" s="559" t="s">
        <v>589</v>
      </c>
      <c r="AD34" s="166" t="s">
        <v>586</v>
      </c>
      <c r="AE34" s="75"/>
      <c r="AF34" s="75"/>
      <c r="AG34" s="75"/>
      <c r="AH34" s="75"/>
      <c r="AI34" s="296"/>
      <c r="AJ34" s="1732"/>
      <c r="AK34" s="1732"/>
      <c r="AL34" s="75"/>
      <c r="AM34" s="75"/>
      <c r="AN34" s="75"/>
      <c r="AO34" s="75"/>
      <c r="AP34" s="75"/>
      <c r="AQ34" s="75"/>
      <c r="AR34" s="75"/>
      <c r="AS34" s="296"/>
      <c r="AT34" s="1732"/>
      <c r="AU34" s="1732"/>
      <c r="AV34" s="75"/>
      <c r="AW34" s="75"/>
      <c r="AX34" s="75"/>
      <c r="AY34" s="75"/>
      <c r="AZ34" s="75"/>
      <c r="BA34" s="75"/>
      <c r="BB34" s="75"/>
      <c r="BC34" s="74"/>
      <c r="BF34" s="1196" t="s">
        <v>595</v>
      </c>
    </row>
    <row customHeight="1" ht="16.672500000000003" hidden="1">
      <c r="E35" s="794">
        <v>17.1</v>
      </c>
      <c r="F35" s="920" cm="1" t="str">
        <f t="array" ref="F35:F35">OFFSET(G35,-1,-1)</f>
        <v>0</v>
      </c>
      <c r="T35" s="805" cm="1" t="str">
        <f t="array" ref="T35:T35">T34</f>
        <v>false</v>
      </c>
      <c r="AB35" s="154" t="str">
        <f>AB33&amp;".2"</f>
        <v>1.2.2</v>
      </c>
      <c r="AC35" s="559" t="s">
        <v>591</v>
      </c>
      <c r="AD35" s="166" t="s">
        <v>586</v>
      </c>
      <c r="AE35" s="75"/>
      <c r="AF35" s="75"/>
      <c r="AG35" s="75"/>
      <c r="AH35" s="75"/>
      <c r="AI35" s="296"/>
      <c r="AJ35" s="1732"/>
      <c r="AK35" s="1732"/>
      <c r="AL35" s="75"/>
      <c r="AM35" s="75"/>
      <c r="AN35" s="75"/>
      <c r="AO35" s="75"/>
      <c r="AP35" s="75"/>
      <c r="AQ35" s="75"/>
      <c r="AR35" s="75"/>
      <c r="AS35" s="296"/>
      <c r="AT35" s="1732"/>
      <c r="AU35" s="1732"/>
      <c r="AV35" s="75"/>
      <c r="AW35" s="75"/>
      <c r="AX35" s="75"/>
      <c r="AY35" s="75"/>
      <c r="AZ35" s="75"/>
      <c r="BA35" s="75"/>
      <c r="BB35" s="75"/>
      <c r="BC35" s="74"/>
      <c r="BF35" s="1196" t="s">
        <v>596</v>
      </c>
    </row>
    <row customHeight="1" ht="16.672500000000003" hidden="1">
      <c r="E36" s="794">
        <v>17.1</v>
      </c>
      <c r="F36" s="920" cm="1" t="str">
        <f t="array" ref="F36:F36">OFFSET(G36,-1,-1)</f>
        <v>0</v>
      </c>
      <c r="T36" s="805" cm="1" t="str">
        <f t="array" ref="T36:T36">T35</f>
        <v>false</v>
      </c>
      <c r="AB36" s="154" t="str">
        <f>AB29&amp;".3"</f>
        <v>1.3</v>
      </c>
      <c r="AC36" s="161" t="s">
        <v>597</v>
      </c>
      <c r="AD36" s="166" t="s">
        <v>586</v>
      </c>
      <c r="AE36" s="75"/>
      <c r="AF36" s="75"/>
      <c r="AG36" s="75"/>
      <c r="AH36" s="75"/>
      <c r="AI36" s="296"/>
      <c r="AJ36" s="1732"/>
      <c r="AK36" s="1732"/>
      <c r="AL36" s="75"/>
      <c r="AM36" s="75"/>
      <c r="AN36" s="75"/>
      <c r="AO36" s="75"/>
      <c r="AP36" s="75"/>
      <c r="AQ36" s="75"/>
      <c r="AR36" s="75"/>
      <c r="AS36" s="296"/>
      <c r="AT36" s="1732"/>
      <c r="AU36" s="1732"/>
      <c r="AV36" s="75"/>
      <c r="AW36" s="75"/>
      <c r="AX36" s="75"/>
      <c r="AY36" s="75"/>
      <c r="AZ36" s="75"/>
      <c r="BA36" s="75"/>
      <c r="BB36" s="75"/>
      <c r="BC36" s="74"/>
      <c r="BF36" s="1196" t="s">
        <v>598</v>
      </c>
    </row>
    <row customHeight="1" ht="16.672500000000003" hidden="1">
      <c r="E37" s="794">
        <v>17.1</v>
      </c>
      <c r="F37" s="920" cm="1" t="str">
        <f t="array" ref="F37:F37">OFFSET(G37,-1,-1)</f>
        <v>0</v>
      </c>
      <c r="T37" s="805" cm="1" t="str">
        <f t="array" ref="T37:T37">T36</f>
        <v>false</v>
      </c>
      <c r="AB37" s="170" t="s">
        <v>440</v>
      </c>
      <c r="AC37" s="846" t="s">
        <v>599</v>
      </c>
      <c r="AD37" s="166" t="s">
        <v>586</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600</v>
      </c>
    </row>
    <row customHeight="1" ht="16.672500000000003" hidden="1">
      <c r="E38" s="794">
        <v>17.1</v>
      </c>
      <c r="F38" s="920" cm="1" t="str">
        <f t="array" ref="F38:F38">OFFSET(G38,-1,-1)</f>
        <v>0</v>
      </c>
      <c r="T38" s="805" cm="1" t="str">
        <f t="array" ref="T38:T38">T37</f>
        <v>false</v>
      </c>
      <c r="AB38" s="154" t="str">
        <f>AB37&amp;".1"</f>
        <v>2.1</v>
      </c>
      <c r="AC38" s="161" t="s">
        <v>417</v>
      </c>
      <c r="AD38" s="166" t="s">
        <v>586</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601</v>
      </c>
    </row>
    <row customHeight="1" ht="16.672500000000003" hidden="1">
      <c r="E39" s="794">
        <v>17.1</v>
      </c>
      <c r="F39" s="920" cm="1" t="str">
        <f t="array" ref="F39:F39">OFFSET(G39,-1,-1)</f>
        <v>0</v>
      </c>
      <c r="T39" s="805" cm="1" t="str">
        <f t="array" ref="T39:T39">T38</f>
        <v>false</v>
      </c>
      <c r="AB39" s="154" t="str">
        <f>AB38&amp;".1"</f>
        <v>2.1.1</v>
      </c>
      <c r="AC39" s="559" t="s">
        <v>589</v>
      </c>
      <c r="AD39" s="166" t="s">
        <v>586</v>
      </c>
      <c r="AE39" s="75"/>
      <c r="AF39" s="75"/>
      <c r="AG39" s="75"/>
      <c r="AH39" s="75"/>
      <c r="AI39" s="296"/>
      <c r="AJ39" s="1732"/>
      <c r="AK39" s="1732"/>
      <c r="AL39" s="75"/>
      <c r="AM39" s="75"/>
      <c r="AN39" s="75"/>
      <c r="AO39" s="75"/>
      <c r="AP39" s="75"/>
      <c r="AQ39" s="75"/>
      <c r="AR39" s="75"/>
      <c r="AS39" s="296"/>
      <c r="AT39" s="1732"/>
      <c r="AU39" s="1732"/>
      <c r="AV39" s="75"/>
      <c r="AW39" s="75"/>
      <c r="AX39" s="75"/>
      <c r="AY39" s="75"/>
      <c r="AZ39" s="75"/>
      <c r="BA39" s="75"/>
      <c r="BB39" s="75"/>
      <c r="BC39" s="74"/>
      <c r="BF39" s="1196" t="s">
        <v>602</v>
      </c>
    </row>
    <row customHeight="1" ht="16.672500000000003" hidden="1">
      <c r="E40" s="794">
        <v>17.1</v>
      </c>
      <c r="F40" s="920" cm="1" t="str">
        <f t="array" ref="F40:F40">OFFSET(G40,-1,-1)</f>
        <v>0</v>
      </c>
      <c r="T40" s="805" cm="1" t="str">
        <f t="array" ref="T40:T40">T39</f>
        <v>false</v>
      </c>
      <c r="AB40" s="154" t="str">
        <f>AB38&amp;".2"</f>
        <v>2.1.2</v>
      </c>
      <c r="AC40" s="559" t="s">
        <v>591</v>
      </c>
      <c r="AD40" s="166" t="s">
        <v>586</v>
      </c>
      <c r="AE40" s="75"/>
      <c r="AF40" s="75"/>
      <c r="AG40" s="75"/>
      <c r="AH40" s="75"/>
      <c r="AI40" s="296"/>
      <c r="AJ40" s="1732"/>
      <c r="AK40" s="1732"/>
      <c r="AL40" s="75"/>
      <c r="AM40" s="75"/>
      <c r="AN40" s="75"/>
      <c r="AO40" s="75"/>
      <c r="AP40" s="75"/>
      <c r="AQ40" s="75"/>
      <c r="AR40" s="75"/>
      <c r="AS40" s="296"/>
      <c r="AT40" s="1732"/>
      <c r="AU40" s="1732"/>
      <c r="AV40" s="75"/>
      <c r="AW40" s="75"/>
      <c r="AX40" s="75"/>
      <c r="AY40" s="75"/>
      <c r="AZ40" s="75"/>
      <c r="BA40" s="75"/>
      <c r="BB40" s="75"/>
      <c r="BC40" s="74"/>
      <c r="BF40" s="1196" t="s">
        <v>603</v>
      </c>
    </row>
    <row customHeight="1" ht="16.672500000000003" hidden="1">
      <c r="E41" s="794">
        <v>17.1</v>
      </c>
      <c r="F41" s="920" cm="1" t="str">
        <f t="array" ref="F41:F41">OFFSET(G41,-1,-1)</f>
        <v>0</v>
      </c>
      <c r="T41" s="805" cm="1" t="str">
        <f t="array" ref="T41:T41">T40</f>
        <v>false</v>
      </c>
      <c r="AB41" s="154" t="str">
        <f>AB38&amp;".2"</f>
        <v>2.1.2</v>
      </c>
      <c r="AC41" s="161" t="s">
        <v>593</v>
      </c>
      <c r="AD41" s="166" t="s">
        <v>586</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604</v>
      </c>
    </row>
    <row customHeight="1" ht="16.672500000000003" hidden="1">
      <c r="E42" s="794">
        <v>17.1</v>
      </c>
      <c r="F42" s="920" cm="1" t="str">
        <f t="array" ref="F42:F42">OFFSET(G42,-1,-1)</f>
        <v>0</v>
      </c>
      <c r="T42" s="805" cm="1" t="str">
        <f t="array" ref="T42:T42">T41</f>
        <v>false</v>
      </c>
      <c r="AB42" s="154" t="str">
        <f>AB41&amp;".1"</f>
        <v>2.1.2.1</v>
      </c>
      <c r="AC42" s="559" t="s">
        <v>589</v>
      </c>
      <c r="AD42" s="166" t="s">
        <v>586</v>
      </c>
      <c r="AE42" s="75"/>
      <c r="AF42" s="75"/>
      <c r="AG42" s="75"/>
      <c r="AH42" s="75"/>
      <c r="AI42" s="296"/>
      <c r="AJ42" s="1732"/>
      <c r="AK42" s="1732"/>
      <c r="AL42" s="75"/>
      <c r="AM42" s="75"/>
      <c r="AN42" s="75"/>
      <c r="AO42" s="75"/>
      <c r="AP42" s="75"/>
      <c r="AQ42" s="75"/>
      <c r="AR42" s="75"/>
      <c r="AS42" s="296"/>
      <c r="AT42" s="1732"/>
      <c r="AU42" s="1732"/>
      <c r="AV42" s="75"/>
      <c r="AW42" s="75"/>
      <c r="AX42" s="75"/>
      <c r="AY42" s="75"/>
      <c r="AZ42" s="75"/>
      <c r="BA42" s="75"/>
      <c r="BB42" s="75"/>
      <c r="BC42" s="74"/>
      <c r="BF42" s="1196" t="s">
        <v>605</v>
      </c>
    </row>
    <row customHeight="1" ht="16.672500000000003" hidden="1">
      <c r="E43" s="794">
        <v>17.1</v>
      </c>
      <c r="F43" s="920" cm="1" t="str">
        <f t="array" ref="F43:F43">OFFSET(G43,-1,-1)</f>
        <v>0</v>
      </c>
      <c r="T43" s="805" cm="1" t="str">
        <f t="array" ref="T43:T43">T42</f>
        <v>false</v>
      </c>
      <c r="AB43" s="154" t="str">
        <f>AB41&amp;".2"</f>
        <v>2.1.2.2</v>
      </c>
      <c r="AC43" s="559" t="s">
        <v>591</v>
      </c>
      <c r="AD43" s="849" t="s">
        <v>586</v>
      </c>
      <c r="AE43" s="76"/>
      <c r="AF43" s="75"/>
      <c r="AG43" s="76"/>
      <c r="AH43" s="75"/>
      <c r="AI43" s="592"/>
      <c r="AJ43" s="1732"/>
      <c r="AK43" s="1733"/>
      <c r="AL43" s="75"/>
      <c r="AM43" s="76"/>
      <c r="AN43" s="75"/>
      <c r="AO43" s="76"/>
      <c r="AP43" s="75"/>
      <c r="AQ43" s="76"/>
      <c r="AR43" s="75"/>
      <c r="AS43" s="592"/>
      <c r="AT43" s="1732"/>
      <c r="AU43" s="1733"/>
      <c r="AV43" s="75"/>
      <c r="AW43" s="76"/>
      <c r="AX43" s="75"/>
      <c r="AY43" s="76"/>
      <c r="AZ43" s="75"/>
      <c r="BA43" s="76"/>
      <c r="BB43" s="75"/>
      <c r="BC43" s="74"/>
      <c r="BF43" s="1196" t="s">
        <v>606</v>
      </c>
    </row>
    <row customHeight="1" ht="16.672500000000003" hidden="1">
      <c r="E44" s="794">
        <v>17.1</v>
      </c>
      <c r="F44" s="920" cm="1" t="str">
        <f t="array" ref="F44:F44">OFFSET(G44,-1,-1)</f>
        <v>0</v>
      </c>
      <c r="T44" s="805" cm="1" t="str">
        <f t="array" ref="T44:T44">T43</f>
        <v>false</v>
      </c>
      <c r="AB44" s="154" t="str">
        <f>AB37&amp;".3"</f>
        <v>2.3</v>
      </c>
      <c r="AC44" s="721" t="s">
        <v>597</v>
      </c>
      <c r="AD44" s="166" t="s">
        <v>586</v>
      </c>
      <c r="AE44" s="75"/>
      <c r="AF44" s="77"/>
      <c r="AG44" s="75"/>
      <c r="AH44" s="77"/>
      <c r="AI44" s="296"/>
      <c r="AJ44" s="1734"/>
      <c r="AK44" s="1732"/>
      <c r="AL44" s="77"/>
      <c r="AM44" s="75"/>
      <c r="AN44" s="77"/>
      <c r="AO44" s="75"/>
      <c r="AP44" s="77"/>
      <c r="AQ44" s="75"/>
      <c r="AR44" s="77"/>
      <c r="AS44" s="296"/>
      <c r="AT44" s="1734"/>
      <c r="AU44" s="1732"/>
      <c r="AV44" s="77"/>
      <c r="AW44" s="75"/>
      <c r="AX44" s="77"/>
      <c r="AY44" s="75"/>
      <c r="AZ44" s="77"/>
      <c r="BA44" s="75"/>
      <c r="BB44" s="77"/>
      <c r="BC44" s="74"/>
      <c r="BF44" s="1196" t="s">
        <v>607</v>
      </c>
    </row>
    <row customHeight="1" ht="29.25" hidden="1">
      <c r="E45" s="794">
        <v>30</v>
      </c>
      <c r="F45" s="920" cm="1" t="str">
        <f t="array" ref="F45:F45">OFFSET(G45,-1,-1)</f>
        <v>0</v>
      </c>
      <c r="T45" s="805" cm="1" t="str">
        <f t="array" ref="T45:T45">T44</f>
        <v>false</v>
      </c>
      <c r="AB45" s="322" t="s">
        <v>608</v>
      </c>
      <c r="AC45" s="160" t="s">
        <v>609</v>
      </c>
      <c r="AD45" s="166" t="s">
        <v>586</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610</v>
      </c>
    </row>
    <row customHeight="1" ht="16.672500000000003" hidden="1">
      <c r="E46" s="794">
        <v>17.1</v>
      </c>
      <c r="F46" s="920" cm="1" t="str">
        <f t="array" ref="F46:F46">OFFSET(G46,-1,-1)</f>
        <v>0</v>
      </c>
      <c r="T46" s="805" cm="1" t="str">
        <f t="array" ref="T46:T46">T45</f>
        <v>false</v>
      </c>
      <c r="AB46" s="845" t="str">
        <f>AB45&amp;".1"</f>
        <v>3.1</v>
      </c>
      <c r="AC46" s="721" t="s">
        <v>417</v>
      </c>
      <c r="AD46" s="166" t="s">
        <v>586</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611</v>
      </c>
    </row>
    <row customHeight="1" ht="16.672500000000003" hidden="1">
      <c r="E47" s="794">
        <v>17.1</v>
      </c>
      <c r="F47" s="920" cm="1" t="str">
        <f t="array" ref="F47:F47">OFFSET(G47,-1,-1)</f>
        <v>0</v>
      </c>
      <c r="T47" s="805" cm="1" t="str">
        <f t="array" ref="T47:T47">T46</f>
        <v>false</v>
      </c>
      <c r="AB47" s="845" t="str">
        <f>AB46&amp;".1"</f>
        <v>3.1.1</v>
      </c>
      <c r="AC47" s="719" t="s">
        <v>589</v>
      </c>
      <c r="AD47" s="166" t="s">
        <v>586</v>
      </c>
      <c r="AE47" s="75">
        <f>AE31-AE39</f>
        <v>0</v>
      </c>
      <c r="AF47" s="75">
        <f>AF31-AF39</f>
        <v>0</v>
      </c>
      <c r="AG47" s="75">
        <f>AG31-AG39</f>
        <v>0</v>
      </c>
      <c r="AH47" s="75">
        <f>AH31-AH39</f>
        <v>0</v>
      </c>
      <c r="AI47" s="296">
        <f>AI31-AI39</f>
        <v>0</v>
      </c>
      <c r="AJ47" s="1732">
        <f>AJ31-AJ39</f>
        <v>0</v>
      </c>
      <c r="AK47" s="1732">
        <f>AK31-AK39</f>
        <v>0</v>
      </c>
      <c r="AL47" s="75">
        <f>AL31-AL39</f>
        <v>0</v>
      </c>
      <c r="AM47" s="75">
        <f>AM31-AM39</f>
        <v>0</v>
      </c>
      <c r="AN47" s="75">
        <f>AN31-AN39</f>
        <v>0</v>
      </c>
      <c r="AO47" s="75">
        <f>AO31-AO39</f>
        <v>0</v>
      </c>
      <c r="AP47" s="75">
        <f>AP31-AP39</f>
        <v>0</v>
      </c>
      <c r="AQ47" s="75">
        <f>AQ31-AQ39</f>
        <v>0</v>
      </c>
      <c r="AR47" s="75">
        <f>AR31-AR39</f>
        <v>0</v>
      </c>
      <c r="AS47" s="296">
        <f>AS31-AS39</f>
        <v>0</v>
      </c>
      <c r="AT47" s="1732">
        <f>AT31-AT39</f>
        <v>0</v>
      </c>
      <c r="AU47" s="1732">
        <f>AU31-AU39</f>
        <v>0</v>
      </c>
      <c r="AV47" s="75">
        <f>AV31-AV39</f>
        <v>0</v>
      </c>
      <c r="AW47" s="75">
        <f>AW31-AW39</f>
        <v>0</v>
      </c>
      <c r="AX47" s="75">
        <f>AX31-AX39</f>
        <v>0</v>
      </c>
      <c r="AY47" s="75">
        <f>AY31-AY39</f>
        <v>0</v>
      </c>
      <c r="AZ47" s="75">
        <f>AZ31-AZ39</f>
        <v>0</v>
      </c>
      <c r="BA47" s="75">
        <f>BA31-BA39</f>
        <v>0</v>
      </c>
      <c r="BB47" s="75">
        <f>BB31-BB39</f>
        <v>0</v>
      </c>
      <c r="BC47" s="74"/>
      <c r="BF47" s="1196" t="s">
        <v>612</v>
      </c>
    </row>
    <row customHeight="1" ht="16.672500000000003" hidden="1">
      <c r="E48" s="794">
        <v>17.1</v>
      </c>
      <c r="F48" s="920" cm="1" t="str">
        <f t="array" ref="F48:F48">OFFSET(G48,-1,-1)</f>
        <v>0</v>
      </c>
      <c r="T48" s="805" cm="1" t="str">
        <f t="array" ref="T48:T48">T47</f>
        <v>false</v>
      </c>
      <c r="AB48" s="845" t="str">
        <f>AB46&amp;".2"</f>
        <v>3.1.2</v>
      </c>
      <c r="AC48" s="719" t="s">
        <v>591</v>
      </c>
      <c r="AD48" s="166" t="s">
        <v>586</v>
      </c>
      <c r="AE48" s="75">
        <f>AE32-AE40</f>
        <v>0</v>
      </c>
      <c r="AF48" s="75">
        <f>AF32-AF40</f>
        <v>0</v>
      </c>
      <c r="AG48" s="75">
        <f>AG32-AG40</f>
        <v>0</v>
      </c>
      <c r="AH48" s="75">
        <f>AH32-AH40</f>
        <v>0</v>
      </c>
      <c r="AI48" s="296">
        <f>AI32-AI40</f>
        <v>0</v>
      </c>
      <c r="AJ48" s="1732">
        <f>AJ32-AJ40</f>
        <v>0</v>
      </c>
      <c r="AK48" s="1732">
        <f>AK32-AK40</f>
        <v>0</v>
      </c>
      <c r="AL48" s="75">
        <f>AL32-AL40</f>
        <v>0</v>
      </c>
      <c r="AM48" s="75">
        <f>AM32-AM40</f>
        <v>0</v>
      </c>
      <c r="AN48" s="75">
        <f>AN32-AN40</f>
        <v>0</v>
      </c>
      <c r="AO48" s="75">
        <f>AO32-AO40</f>
        <v>0</v>
      </c>
      <c r="AP48" s="75">
        <f>AP32-AP40</f>
        <v>0</v>
      </c>
      <c r="AQ48" s="75">
        <f>AQ32-AQ40</f>
        <v>0</v>
      </c>
      <c r="AR48" s="75">
        <f>AR32-AR40</f>
        <v>0</v>
      </c>
      <c r="AS48" s="296">
        <f>AS32-AS40</f>
        <v>0</v>
      </c>
      <c r="AT48" s="1732">
        <f>AT32-AT40</f>
        <v>0</v>
      </c>
      <c r="AU48" s="1732">
        <f>AU32-AU40</f>
        <v>0</v>
      </c>
      <c r="AV48" s="75">
        <f>AV32-AV40</f>
        <v>0</v>
      </c>
      <c r="AW48" s="75">
        <f>AW32-AW40</f>
        <v>0</v>
      </c>
      <c r="AX48" s="75">
        <f>AX32-AX40</f>
        <v>0</v>
      </c>
      <c r="AY48" s="75">
        <f>AY32-AY40</f>
        <v>0</v>
      </c>
      <c r="AZ48" s="75">
        <f>AZ32-AZ40</f>
        <v>0</v>
      </c>
      <c r="BA48" s="75">
        <f>BA32-BA40</f>
        <v>0</v>
      </c>
      <c r="BB48" s="75">
        <f>BB32-BB40</f>
        <v>0</v>
      </c>
      <c r="BC48" s="74"/>
      <c r="BF48" s="1196" t="s">
        <v>613</v>
      </c>
    </row>
    <row customHeight="1" ht="16.672500000000003" hidden="1">
      <c r="E49" s="794">
        <v>17.1</v>
      </c>
      <c r="F49" s="920" cm="1" t="str">
        <f t="array" ref="F49:F49">OFFSET(G49,-1,-1)</f>
        <v>0</v>
      </c>
      <c r="T49" s="805" cm="1" t="str">
        <f t="array" ref="T49:T49">T48</f>
        <v>false</v>
      </c>
      <c r="AB49" s="845" t="str">
        <f>AB45&amp;".2"</f>
        <v>3.2</v>
      </c>
      <c r="AC49" s="721" t="s">
        <v>593</v>
      </c>
      <c r="AD49" s="166" t="s">
        <v>586</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614</v>
      </c>
    </row>
    <row customHeight="1" ht="16.672500000000003" hidden="1">
      <c r="E50" s="794">
        <v>17.1</v>
      </c>
      <c r="F50" s="920" cm="1" t="str">
        <f t="array" ref="F50:F50">OFFSET(G50,-1,-1)</f>
        <v>0</v>
      </c>
      <c r="T50" s="805" cm="1" t="str">
        <f t="array" ref="T50:T50">T49</f>
        <v>false</v>
      </c>
      <c r="AB50" s="845" t="str">
        <f>AB49&amp;".1"</f>
        <v>3.2.1</v>
      </c>
      <c r="AC50" s="719" t="s">
        <v>589</v>
      </c>
      <c r="AD50" s="166" t="s">
        <v>586</v>
      </c>
      <c r="AE50" s="75">
        <f>AE34-AE42</f>
        <v>0</v>
      </c>
      <c r="AF50" s="75">
        <f>AF34-AF42</f>
        <v>0</v>
      </c>
      <c r="AG50" s="75">
        <f>AG34-AG42</f>
        <v>0</v>
      </c>
      <c r="AH50" s="75">
        <f>AH34-AH42</f>
        <v>0</v>
      </c>
      <c r="AI50" s="296">
        <f>AI34-AI42</f>
        <v>0</v>
      </c>
      <c r="AJ50" s="1732">
        <f>AJ34-AJ42</f>
        <v>0</v>
      </c>
      <c r="AK50" s="1732">
        <f>AK34-AK42</f>
        <v>0</v>
      </c>
      <c r="AL50" s="75">
        <f>AL34-AL42</f>
        <v>0</v>
      </c>
      <c r="AM50" s="75">
        <f>AM34-AM42</f>
        <v>0</v>
      </c>
      <c r="AN50" s="75">
        <f>AN34-AN42</f>
        <v>0</v>
      </c>
      <c r="AO50" s="75">
        <f>AO34-AO42</f>
        <v>0</v>
      </c>
      <c r="AP50" s="75">
        <f>AP34-AP42</f>
        <v>0</v>
      </c>
      <c r="AQ50" s="75">
        <f>AQ34-AQ42</f>
        <v>0</v>
      </c>
      <c r="AR50" s="75">
        <f>AR34-AR42</f>
        <v>0</v>
      </c>
      <c r="AS50" s="296">
        <f>AS34-AS42</f>
        <v>0</v>
      </c>
      <c r="AT50" s="1732">
        <f>AT34-AT42</f>
        <v>0</v>
      </c>
      <c r="AU50" s="1732">
        <f>AU34-AU42</f>
        <v>0</v>
      </c>
      <c r="AV50" s="75">
        <f>AV34-AV42</f>
        <v>0</v>
      </c>
      <c r="AW50" s="75">
        <f>AW34-AW42</f>
        <v>0</v>
      </c>
      <c r="AX50" s="75">
        <f>AX34-AX42</f>
        <v>0</v>
      </c>
      <c r="AY50" s="75">
        <f>AY34-AY42</f>
        <v>0</v>
      </c>
      <c r="AZ50" s="75">
        <f>AZ34-AZ42</f>
        <v>0</v>
      </c>
      <c r="BA50" s="75">
        <f>BA34-BA42</f>
        <v>0</v>
      </c>
      <c r="BB50" s="75">
        <f>BB34-BB42</f>
        <v>0</v>
      </c>
      <c r="BC50" s="74"/>
      <c r="BF50" s="1196" t="s">
        <v>615</v>
      </c>
    </row>
    <row customHeight="1" ht="16.672500000000003" hidden="1">
      <c r="E51" s="794">
        <v>17.1</v>
      </c>
      <c r="F51" s="920" cm="1" t="str">
        <f t="array" ref="F51:F51">OFFSET(G51,-1,-1)</f>
        <v>0</v>
      </c>
      <c r="T51" s="805" cm="1" t="str">
        <f t="array" ref="T51:T51">T50</f>
        <v>false</v>
      </c>
      <c r="AB51" s="845" t="str">
        <f>AB49&amp;".2"</f>
        <v>3.2.2</v>
      </c>
      <c r="AC51" s="559" t="s">
        <v>591</v>
      </c>
      <c r="AD51" s="851" t="s">
        <v>586</v>
      </c>
      <c r="AE51" s="75">
        <f>AE35-AE43</f>
        <v>0</v>
      </c>
      <c r="AF51" s="75">
        <f>AF35-AF43</f>
        <v>0</v>
      </c>
      <c r="AG51" s="75">
        <f>AG35-AG43</f>
        <v>0</v>
      </c>
      <c r="AH51" s="75">
        <f>AH35-AH43</f>
        <v>0</v>
      </c>
      <c r="AI51" s="296">
        <f>AI35-AI43</f>
        <v>0</v>
      </c>
      <c r="AJ51" s="1732">
        <f>AJ35-AJ43</f>
        <v>0</v>
      </c>
      <c r="AK51" s="1732">
        <f>AK35-AK43</f>
        <v>0</v>
      </c>
      <c r="AL51" s="75">
        <f>AL35-AL43</f>
        <v>0</v>
      </c>
      <c r="AM51" s="75">
        <f>AM35-AM43</f>
        <v>0</v>
      </c>
      <c r="AN51" s="75">
        <f>AN35-AN43</f>
        <v>0</v>
      </c>
      <c r="AO51" s="75">
        <f>AO35-AO43</f>
        <v>0</v>
      </c>
      <c r="AP51" s="75">
        <f>AP35-AP43</f>
        <v>0</v>
      </c>
      <c r="AQ51" s="75">
        <f>AQ35-AQ43</f>
        <v>0</v>
      </c>
      <c r="AR51" s="75">
        <f>AR35-AR43</f>
        <v>0</v>
      </c>
      <c r="AS51" s="296">
        <f>AS35-AS43</f>
        <v>0</v>
      </c>
      <c r="AT51" s="1732">
        <f>AT35-AT43</f>
        <v>0</v>
      </c>
      <c r="AU51" s="1732">
        <f>AU35-AU43</f>
        <v>0</v>
      </c>
      <c r="AV51" s="75">
        <f>AV35-AV43</f>
        <v>0</v>
      </c>
      <c r="AW51" s="75">
        <f>AW35-AW43</f>
        <v>0</v>
      </c>
      <c r="AX51" s="75">
        <f>AX35-AX43</f>
        <v>0</v>
      </c>
      <c r="AY51" s="75">
        <f>AY35-AY43</f>
        <v>0</v>
      </c>
      <c r="AZ51" s="75">
        <f>AZ35-AZ43</f>
        <v>0</v>
      </c>
      <c r="BA51" s="75">
        <f>BA35-BA43</f>
        <v>0</v>
      </c>
      <c r="BB51" s="75">
        <f>BB35-BB43</f>
        <v>0</v>
      </c>
      <c r="BC51" s="74"/>
      <c r="BF51" s="1196" t="s">
        <v>616</v>
      </c>
    </row>
    <row customHeight="1" ht="16.672500000000003" hidden="1">
      <c r="E52" s="794">
        <v>17.1</v>
      </c>
      <c r="F52" s="920" cm="1" t="str">
        <f t="array" ref="F52:F52">OFFSET(G52,-1,-1)</f>
        <v>0</v>
      </c>
      <c r="T52" s="805" cm="1" t="str">
        <f t="array" ref="T52:T52">T51</f>
        <v>false</v>
      </c>
      <c r="AB52" s="845" t="str">
        <f>AB45&amp;".3"</f>
        <v>3.3</v>
      </c>
      <c r="AC52" s="556" t="s">
        <v>597</v>
      </c>
      <c r="AD52" s="167" t="s">
        <v>586</v>
      </c>
      <c r="AE52" s="75"/>
      <c r="AF52" s="75"/>
      <c r="AG52" s="75"/>
      <c r="AH52" s="75"/>
      <c r="AI52" s="296"/>
      <c r="AJ52" s="1732"/>
      <c r="AK52" s="1732"/>
      <c r="AL52" s="75"/>
      <c r="AM52" s="75"/>
      <c r="AN52" s="75"/>
      <c r="AO52" s="75"/>
      <c r="AP52" s="75"/>
      <c r="AQ52" s="75"/>
      <c r="AR52" s="75"/>
      <c r="AS52" s="296"/>
      <c r="AT52" s="1732"/>
      <c r="AU52" s="1732"/>
      <c r="AV52" s="75"/>
      <c r="AW52" s="75"/>
      <c r="AX52" s="75"/>
      <c r="AY52" s="75"/>
      <c r="AZ52" s="75"/>
      <c r="BA52" s="75"/>
      <c r="BB52" s="75"/>
      <c r="BC52" s="74"/>
      <c r="BF52" s="1196" t="s">
        <v>617</v>
      </c>
    </row>
    <row customHeight="1" ht="16.672500000000003" hidden="1">
      <c r="E53" s="794">
        <v>17.1</v>
      </c>
      <c r="F53" s="920" cm="1" t="str">
        <f t="array" ref="F53:F53">OFFSET(G53,-1,-1)</f>
        <v>0</v>
      </c>
      <c r="T53" s="805" cm="1" t="str">
        <f t="array" ref="T53:T53">T52</f>
        <v>false</v>
      </c>
      <c r="AB53" s="565" t="s">
        <v>618</v>
      </c>
      <c r="AC53" s="566" t="s">
        <v>619</v>
      </c>
      <c r="AD53" s="167" t="s">
        <v>586</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620</v>
      </c>
    </row>
    <row customHeight="1" ht="16.672500000000003" hidden="1">
      <c r="E54" s="794">
        <v>17.1</v>
      </c>
      <c r="F54" s="920" cm="1" t="str">
        <f t="array" ref="F54:F54">OFFSET(G54,-1,-1)</f>
        <v>0</v>
      </c>
      <c r="T54" s="805" cm="1" t="str">
        <f t="array" ref="T54:T54">T53</f>
        <v>false</v>
      </c>
      <c r="AB54" s="845" t="str">
        <f>AB53&amp;".1"</f>
        <v>4.1</v>
      </c>
      <c r="AC54" s="556" t="s">
        <v>589</v>
      </c>
      <c r="AD54" s="167" t="s">
        <v>586</v>
      </c>
      <c r="AE54" s="78"/>
      <c r="AF54" s="78"/>
      <c r="AG54" s="78"/>
      <c r="AH54" s="78"/>
      <c r="AI54" s="482"/>
      <c r="AJ54" s="1737"/>
      <c r="AK54" s="1737"/>
      <c r="AL54" s="78"/>
      <c r="AM54" s="78"/>
      <c r="AN54" s="78"/>
      <c r="AO54" s="78"/>
      <c r="AP54" s="78"/>
      <c r="AQ54" s="78"/>
      <c r="AR54" s="78"/>
      <c r="AS54" s="482"/>
      <c r="AT54" s="1737"/>
      <c r="AU54" s="1737"/>
      <c r="AV54" s="78"/>
      <c r="AW54" s="78"/>
      <c r="AX54" s="78"/>
      <c r="AY54" s="78"/>
      <c r="AZ54" s="78"/>
      <c r="BA54" s="78"/>
      <c r="BB54" s="78"/>
      <c r="BC54" s="74"/>
      <c r="BF54" s="1196" t="s">
        <v>621</v>
      </c>
    </row>
    <row customHeight="1" ht="16.672500000000003" hidden="1">
      <c r="E55" s="794">
        <v>17.1</v>
      </c>
      <c r="F55" s="920" cm="1" t="str">
        <f t="array" ref="F55:F55">OFFSET(G55,-1,-1)</f>
        <v>0</v>
      </c>
      <c r="T55" s="805" cm="1" t="str">
        <f t="array" ref="T55:T55">T54</f>
        <v>false</v>
      </c>
      <c r="AB55" s="845" t="str">
        <f>AB53&amp;".2"</f>
        <v>4.2</v>
      </c>
      <c r="AC55" s="556" t="s">
        <v>591</v>
      </c>
      <c r="AD55" s="167" t="s">
        <v>586</v>
      </c>
      <c r="AE55" s="79"/>
      <c r="AF55" s="79"/>
      <c r="AG55" s="79"/>
      <c r="AH55" s="79"/>
      <c r="AI55" s="563"/>
      <c r="AJ55" s="1738"/>
      <c r="AK55" s="1738"/>
      <c r="AL55" s="79"/>
      <c r="AM55" s="79"/>
      <c r="AN55" s="79"/>
      <c r="AO55" s="79"/>
      <c r="AP55" s="79"/>
      <c r="AQ55" s="79"/>
      <c r="AR55" s="79"/>
      <c r="AS55" s="563"/>
      <c r="AT55" s="1738"/>
      <c r="AU55" s="1738"/>
      <c r="AV55" s="79"/>
      <c r="AW55" s="79"/>
      <c r="AX55" s="79"/>
      <c r="AY55" s="79"/>
      <c r="AZ55" s="79"/>
      <c r="BA55" s="79"/>
      <c r="BB55" s="79"/>
      <c r="BC55" s="69"/>
      <c r="BF55" s="1196" t="s">
        <v>622</v>
      </c>
    </row>
    <row customHeight="1" ht="16.672500000000003" hidden="1">
      <c r="E56" s="794">
        <v>17.1</v>
      </c>
      <c r="F56" s="920" cm="1" t="str">
        <f t="array" ref="F56:F56">OFFSET(G56,-1,-1)</f>
        <v>0</v>
      </c>
      <c r="T56" s="805" cm="1" t="str">
        <f t="array" ref="T56:T56">T55</f>
        <v>false</v>
      </c>
      <c r="AB56" s="854" t="s">
        <v>623</v>
      </c>
      <c r="AC56" s="524" t="s">
        <v>624</v>
      </c>
      <c r="AD56" s="410" t="s">
        <v>586</v>
      </c>
      <c r="AE56" s="75"/>
      <c r="AF56" s="75"/>
      <c r="AG56" s="75"/>
      <c r="AH56" s="75"/>
      <c r="AI56" s="296"/>
      <c r="AJ56" s="1732"/>
      <c r="AK56" s="1732"/>
      <c r="AL56" s="75"/>
      <c r="AM56" s="75"/>
      <c r="AN56" s="75"/>
      <c r="AO56" s="75"/>
      <c r="AP56" s="75"/>
      <c r="AQ56" s="75"/>
      <c r="AR56" s="75"/>
      <c r="AS56" s="296"/>
      <c r="AT56" s="1732"/>
      <c r="AU56" s="1732"/>
      <c r="AV56" s="75"/>
      <c r="AW56" s="75"/>
      <c r="AX56" s="75"/>
      <c r="AY56" s="75"/>
      <c r="AZ56" s="75"/>
      <c r="BA56" s="75"/>
      <c r="BB56" s="75"/>
      <c r="BC56" s="80"/>
      <c r="BF56" s="1196" t="s">
        <v>625</v>
      </c>
    </row>
    <row customHeight="1" ht="16.672500000000003" hidden="1">
      <c r="E57" s="794">
        <v>17.1</v>
      </c>
      <c r="F57" s="920" cm="1" t="str">
        <f t="array" ref="F57:F57">OFFSET(G57,-1,-1)</f>
        <v>0</v>
      </c>
      <c r="T57" s="805" cm="1" t="str">
        <f t="array" ref="T57:T57">T56</f>
        <v>false</v>
      </c>
      <c r="AB57" s="855" t="s">
        <v>626</v>
      </c>
      <c r="AC57" s="478" t="s">
        <v>627</v>
      </c>
      <c r="AD57" s="410" t="s">
        <v>586</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628</v>
      </c>
    </row>
    <row customHeight="1" ht="16.672500000000003" hidden="1">
      <c r="E58" s="794">
        <v>17.1</v>
      </c>
      <c r="F58" s="920" cm="1" t="str">
        <f t="array" ref="F58:F58">OFFSET(G58,-1,-1)</f>
        <v>0</v>
      </c>
      <c r="T58" s="805" cm="1" t="str">
        <f t="array" ref="T58:T58">T57</f>
        <v>false</v>
      </c>
      <c r="AB58" s="845" t="str">
        <f>AB57&amp;".1"</f>
        <v>6.1</v>
      </c>
      <c r="AC58" s="556" t="s">
        <v>589</v>
      </c>
      <c r="AD58" s="410" t="s">
        <v>586</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629</v>
      </c>
    </row>
    <row customHeight="1" ht="16.672500000000003" hidden="1">
      <c r="E59" s="794">
        <v>17.1</v>
      </c>
      <c r="F59" s="920" cm="1" t="str">
        <f t="array" ref="F59:F59">OFFSET(G59,-1,-1)</f>
        <v>0</v>
      </c>
      <c r="T59" s="805" cm="1" t="str">
        <f t="array" ref="T59:T59">T58</f>
        <v>false</v>
      </c>
      <c r="AB59" s="845" t="str">
        <f>AB58&amp;".1"</f>
        <v>6.1.1</v>
      </c>
      <c r="AC59" s="681" t="s">
        <v>630</v>
      </c>
      <c r="AD59" s="167" t="s">
        <v>586</v>
      </c>
      <c r="AE59" s="75"/>
      <c r="AF59" s="75"/>
      <c r="AG59" s="75"/>
      <c r="AH59" s="75"/>
      <c r="AI59" s="296"/>
      <c r="AJ59" s="1732"/>
      <c r="AK59" s="1732"/>
      <c r="AL59" s="75"/>
      <c r="AM59" s="75"/>
      <c r="AN59" s="75"/>
      <c r="AO59" s="75"/>
      <c r="AP59" s="75"/>
      <c r="AQ59" s="75"/>
      <c r="AR59" s="75"/>
      <c r="AS59" s="296"/>
      <c r="AT59" s="1732"/>
      <c r="AU59" s="1732"/>
      <c r="AV59" s="75"/>
      <c r="AW59" s="75"/>
      <c r="AX59" s="75"/>
      <c r="AY59" s="75"/>
      <c r="AZ59" s="75"/>
      <c r="BA59" s="75"/>
      <c r="BB59" s="75"/>
      <c r="BC59" s="80"/>
      <c r="BF59" s="1196" t="s">
        <v>631</v>
      </c>
    </row>
    <row customHeight="1" ht="16.672500000000003" hidden="1">
      <c r="E60" s="794">
        <v>17.1</v>
      </c>
      <c r="F60" s="920" cm="1" t="str">
        <f t="array" ref="F60:F60">OFFSET(G60,-1,-1)</f>
        <v>0</v>
      </c>
      <c r="T60" s="805" cm="1" t="str">
        <f t="array" ref="T60:T60">T59</f>
        <v>false</v>
      </c>
      <c r="AB60" s="845" t="str">
        <f>AB58&amp;".2"</f>
        <v>6.1.2</v>
      </c>
      <c r="AC60" s="682" t="s">
        <v>632</v>
      </c>
      <c r="AD60" s="167" t="s">
        <v>586</v>
      </c>
      <c r="AE60" s="75">
        <f>SUM(AE61:AE64)</f>
        <v>0</v>
      </c>
      <c r="AF60" s="75">
        <f>SUM(AF61:AF64)</f>
        <v>0</v>
      </c>
      <c r="AG60" s="75">
        <f>SUM(AG61:AG64)</f>
        <v>0</v>
      </c>
      <c r="AH60" s="75">
        <f>SUM(AH61:AH64)</f>
        <v>0</v>
      </c>
      <c r="AI60" s="296">
        <f>SUM(AI61:AI64)</f>
        <v>0</v>
      </c>
      <c r="AJ60" s="1732">
        <f>SUM(AJ61:AJ64)</f>
        <v>0</v>
      </c>
      <c r="AK60" s="1732">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32">
        <f>SUM(AT61:AT64)</f>
        <v>0</v>
      </c>
      <c r="AU60" s="1732">
        <f>SUM(AU61:AU64)</f>
        <v>0</v>
      </c>
      <c r="AV60" s="75">
        <f>SUM(AV61:AV64)</f>
        <v>0</v>
      </c>
      <c r="AW60" s="75">
        <f>SUM(AW61:AW64)</f>
        <v>0</v>
      </c>
      <c r="AX60" s="75">
        <f>SUM(AX61:AX64)</f>
        <v>0</v>
      </c>
      <c r="AY60" s="75">
        <f>SUM(AY61:AY64)</f>
        <v>0</v>
      </c>
      <c r="AZ60" s="75">
        <f>SUM(AZ61:AZ64)</f>
        <v>0</v>
      </c>
      <c r="BA60" s="75">
        <f>SUM(BA61:BA64)</f>
        <v>0</v>
      </c>
      <c r="BB60" s="75">
        <f>SUM(BB61:BB64)</f>
        <v>0</v>
      </c>
      <c r="BC60" s="80"/>
      <c r="BF60" s="1196" t="s">
        <v>633</v>
      </c>
    </row>
    <row customHeight="1" ht="16.672500000000003" hidden="1">
      <c r="E61" s="794">
        <v>17.1</v>
      </c>
      <c r="F61" s="920" cm="1" t="str">
        <f t="array" ref="F61:F61">OFFSET(G61,-1,-1)</f>
        <v>0</v>
      </c>
      <c r="T61" s="805" cm="1" t="str">
        <f t="array" ref="T61:T61">T60</f>
        <v>false</v>
      </c>
      <c r="AB61" s="845" t="str">
        <f>AB60&amp;".1"</f>
        <v>6.1.2.1</v>
      </c>
      <c r="AC61" s="683" t="s">
        <v>634</v>
      </c>
      <c r="AD61" s="410" t="s">
        <v>586</v>
      </c>
      <c r="AE61" s="75"/>
      <c r="AF61" s="75"/>
      <c r="AG61" s="75"/>
      <c r="AH61" s="75"/>
      <c r="AI61" s="296"/>
      <c r="AJ61" s="1732"/>
      <c r="AK61" s="1732"/>
      <c r="AL61" s="75"/>
      <c r="AM61" s="75"/>
      <c r="AN61" s="75"/>
      <c r="AO61" s="75"/>
      <c r="AP61" s="75"/>
      <c r="AQ61" s="75"/>
      <c r="AR61" s="75"/>
      <c r="AS61" s="296"/>
      <c r="AT61" s="1732"/>
      <c r="AU61" s="1732"/>
      <c r="AV61" s="75"/>
      <c r="AW61" s="75"/>
      <c r="AX61" s="75"/>
      <c r="AY61" s="75"/>
      <c r="AZ61" s="75"/>
      <c r="BA61" s="75"/>
      <c r="BB61" s="75"/>
      <c r="BC61" s="80"/>
      <c r="BF61" s="1196" t="s">
        <v>635</v>
      </c>
    </row>
    <row customHeight="1" ht="16.672500000000003" hidden="1">
      <c r="E62" s="794">
        <v>17.1</v>
      </c>
      <c r="F62" s="920" cm="1" t="str">
        <f t="array" ref="F62:F62">OFFSET(G62,-1,-1)</f>
        <v>0</v>
      </c>
      <c r="T62" s="805" cm="1" t="str">
        <f t="array" ref="T62:T62">T61</f>
        <v>false</v>
      </c>
      <c r="AB62" s="845" t="str">
        <f>AB60&amp;".2"</f>
        <v>6.1.2.2</v>
      </c>
      <c r="AC62" s="684" t="s">
        <v>636</v>
      </c>
      <c r="AD62" s="167" t="s">
        <v>586</v>
      </c>
      <c r="AE62" s="75"/>
      <c r="AF62" s="75"/>
      <c r="AG62" s="75"/>
      <c r="AH62" s="75"/>
      <c r="AI62" s="296"/>
      <c r="AJ62" s="1732"/>
      <c r="AK62" s="1732"/>
      <c r="AL62" s="75"/>
      <c r="AM62" s="75"/>
      <c r="AN62" s="75"/>
      <c r="AO62" s="75"/>
      <c r="AP62" s="75"/>
      <c r="AQ62" s="75"/>
      <c r="AR62" s="75"/>
      <c r="AS62" s="296"/>
      <c r="AT62" s="1732"/>
      <c r="AU62" s="1732"/>
      <c r="AV62" s="75"/>
      <c r="AW62" s="75"/>
      <c r="AX62" s="75"/>
      <c r="AY62" s="75"/>
      <c r="AZ62" s="75"/>
      <c r="BA62" s="75"/>
      <c r="BB62" s="75"/>
      <c r="BC62" s="80"/>
      <c r="BF62" s="1196" t="s">
        <v>637</v>
      </c>
    </row>
    <row customHeight="1" ht="16.672500000000003" hidden="1">
      <c r="E63" s="794">
        <v>17.1</v>
      </c>
      <c r="F63" s="920" cm="1" t="str">
        <f t="array" ref="F63:F63">OFFSET(G63,-1,-1)</f>
        <v>0</v>
      </c>
      <c r="T63" s="805" cm="1" t="str">
        <f t="array" ref="T63:T63">T62</f>
        <v>false</v>
      </c>
      <c r="AB63" s="845" t="str">
        <f>AB60&amp;".3"</f>
        <v>6.1.2.3</v>
      </c>
      <c r="AC63" s="684" t="s">
        <v>638</v>
      </c>
      <c r="AD63" s="167" t="s">
        <v>586</v>
      </c>
      <c r="AE63" s="75"/>
      <c r="AF63" s="75"/>
      <c r="AG63" s="75"/>
      <c r="AH63" s="75"/>
      <c r="AI63" s="296"/>
      <c r="AJ63" s="1732"/>
      <c r="AK63" s="1732"/>
      <c r="AL63" s="75"/>
      <c r="AM63" s="75"/>
      <c r="AN63" s="75"/>
      <c r="AO63" s="75"/>
      <c r="AP63" s="75"/>
      <c r="AQ63" s="75"/>
      <c r="AR63" s="75"/>
      <c r="AS63" s="296"/>
      <c r="AT63" s="1732"/>
      <c r="AU63" s="1732"/>
      <c r="AV63" s="75"/>
      <c r="AW63" s="75"/>
      <c r="AX63" s="75"/>
      <c r="AY63" s="75"/>
      <c r="AZ63" s="75"/>
      <c r="BA63" s="75"/>
      <c r="BB63" s="75"/>
      <c r="BC63" s="80"/>
      <c r="BF63" s="1196" t="s">
        <v>639</v>
      </c>
    </row>
    <row customHeight="1" ht="16.672500000000003" hidden="1">
      <c r="E64" s="794">
        <v>17.1</v>
      </c>
      <c r="F64" s="920" cm="1" t="str">
        <f t="array" ref="F64:F64">OFFSET(G64,-1,-1)</f>
        <v>0</v>
      </c>
      <c r="T64" s="805" cm="1" t="str">
        <f t="array" ref="T64:T64">T63</f>
        <v>false</v>
      </c>
      <c r="AB64" s="845" t="str">
        <f>AB60&amp;".4"</f>
        <v>6.1.2.4</v>
      </c>
      <c r="AC64" s="684" t="s">
        <v>640</v>
      </c>
      <c r="AD64" s="410" t="s">
        <v>586</v>
      </c>
      <c r="AE64" s="75"/>
      <c r="AF64" s="75"/>
      <c r="AG64" s="75"/>
      <c r="AH64" s="75"/>
      <c r="AI64" s="296"/>
      <c r="AJ64" s="1732"/>
      <c r="AK64" s="1732"/>
      <c r="AL64" s="75"/>
      <c r="AM64" s="75"/>
      <c r="AN64" s="75"/>
      <c r="AO64" s="75"/>
      <c r="AP64" s="75"/>
      <c r="AQ64" s="75"/>
      <c r="AR64" s="75"/>
      <c r="AS64" s="296"/>
      <c r="AT64" s="1732"/>
      <c r="AU64" s="1732"/>
      <c r="AV64" s="75"/>
      <c r="AW64" s="75"/>
      <c r="AX64" s="75"/>
      <c r="AY64" s="75"/>
      <c r="AZ64" s="75"/>
      <c r="BA64" s="75"/>
      <c r="BB64" s="75"/>
      <c r="BC64" s="80"/>
      <c r="BF64" s="1196" t="s">
        <v>641</v>
      </c>
    </row>
    <row customHeight="1" ht="16.672500000000003" hidden="1">
      <c r="E65" s="794">
        <v>17.1</v>
      </c>
      <c r="F65" s="920" cm="1" t="str">
        <f t="array" ref="F65:F65">OFFSET(G65,-1,-1)</f>
        <v>0</v>
      </c>
      <c r="T65" s="805" cm="1" t="str">
        <f t="array" ref="T65:T65">T64</f>
        <v>false</v>
      </c>
      <c r="AB65" s="845" t="str">
        <f>AB58&amp;".3"</f>
        <v>6.1.3</v>
      </c>
      <c r="AC65" s="1107" t="s">
        <v>642</v>
      </c>
      <c r="AD65" s="410" t="s">
        <v>586</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643</v>
      </c>
    </row>
    <row customHeight="1" ht="16.672500000000003" hidden="1">
      <c r="E66" s="794">
        <v>17.1</v>
      </c>
      <c r="F66" s="920" cm="1" t="str">
        <f t="array" ref="F66:F66">OFFSET(G66,-1,-1)</f>
        <v>0</v>
      </c>
      <c r="T66" s="805" cm="1" t="str">
        <f t="array" ref="T66:T66">T65</f>
        <v>false</v>
      </c>
      <c r="AB66" s="845" t="str">
        <f>AB57&amp;".2"</f>
        <v>6.2</v>
      </c>
      <c r="AC66" s="556" t="s">
        <v>591</v>
      </c>
      <c r="AD66" s="410" t="s">
        <v>586</v>
      </c>
      <c r="AE66" s="75"/>
      <c r="AF66" s="75"/>
      <c r="AG66" s="75"/>
      <c r="AH66" s="75"/>
      <c r="AI66" s="296"/>
      <c r="AJ66" s="1732"/>
      <c r="AK66" s="1732"/>
      <c r="AL66" s="75"/>
      <c r="AM66" s="75"/>
      <c r="AN66" s="75"/>
      <c r="AO66" s="75"/>
      <c r="AP66" s="75"/>
      <c r="AQ66" s="75"/>
      <c r="AR66" s="75"/>
      <c r="AS66" s="296"/>
      <c r="AT66" s="1732"/>
      <c r="AU66" s="1732"/>
      <c r="AV66" s="75"/>
      <c r="AW66" s="75"/>
      <c r="AX66" s="75"/>
      <c r="AY66" s="75"/>
      <c r="AZ66" s="75"/>
      <c r="BA66" s="75"/>
      <c r="BB66" s="75"/>
      <c r="BC66" s="80"/>
      <c r="BF66" s="1196" t="s">
        <v>644</v>
      </c>
    </row>
    <row customHeight="1" ht="16.672500000000003" hidden="1">
      <c r="E67" s="794">
        <v>17.1</v>
      </c>
      <c r="F67" s="920" cm="1" t="str">
        <f t="array" ref="F67:F67">OFFSET(G67,-1,-1)</f>
        <v>0</v>
      </c>
      <c r="T67" s="805" cm="1" t="str">
        <f t="array" ref="T67:T67">T66</f>
        <v>false</v>
      </c>
      <c r="AB67" s="565" t="s">
        <v>645</v>
      </c>
      <c r="AC67" s="566" t="s">
        <v>646</v>
      </c>
      <c r="AD67" s="410" t="s">
        <v>586</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647</v>
      </c>
    </row>
    <row customHeight="1" ht="16.672500000000003" hidden="1">
      <c r="E68" s="794">
        <v>17.1</v>
      </c>
      <c r="F68" s="920" cm="1" t="str">
        <f t="array" ref="F68:F68">OFFSET(G68,-1,-1)</f>
        <v>0</v>
      </c>
      <c r="T68" s="805" cm="1" t="str">
        <f t="array" ref="T68:T68">T67</f>
        <v>false</v>
      </c>
      <c r="AB68" s="845" t="str">
        <f>AB67&amp;".1"</f>
        <v>7.1</v>
      </c>
      <c r="AC68" s="556" t="s">
        <v>589</v>
      </c>
      <c r="AD68" s="410" t="s">
        <v>586</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648</v>
      </c>
    </row>
    <row customHeight="1" ht="16.672500000000003" hidden="1">
      <c r="E69" s="794">
        <v>17.1</v>
      </c>
      <c r="F69" s="920" cm="1" t="str">
        <f t="array" ref="F69:F69">OFFSET(G69,-1,-1)</f>
        <v>0</v>
      </c>
      <c r="T69" s="805" cm="1" t="str">
        <f t="array" ref="T69:T69">T68</f>
        <v>false</v>
      </c>
      <c r="AB69" s="845" t="str">
        <f>AB67&amp;".2"</f>
        <v>7.2</v>
      </c>
      <c r="AC69" s="556" t="s">
        <v>591</v>
      </c>
      <c r="AD69" s="410" t="s">
        <v>586</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649</v>
      </c>
    </row>
    <row customHeight="1" ht="33.6375" hidden="1">
      <c r="E70" s="794">
        <v>34.5</v>
      </c>
      <c r="F70" s="920" cm="1" t="str">
        <f t="array" ref="F70:F70">OFFSET(G70,-1,-1)</f>
        <v>0</v>
      </c>
      <c r="T70" s="805" cm="1" t="str">
        <f t="array" ref="T70:T70">T69</f>
        <v>false</v>
      </c>
      <c r="AB70" s="565" t="s">
        <v>650</v>
      </c>
      <c r="AC70" s="566" t="s">
        <v>651</v>
      </c>
      <c r="AD70" s="410" t="s">
        <v>586</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652</v>
      </c>
    </row>
    <row customHeight="1" ht="16.672500000000003" hidden="1">
      <c r="E71" s="794">
        <v>17.1</v>
      </c>
      <c r="F71" s="920" cm="1" t="str">
        <f t="array" ref="F71:F71">OFFSET(G71,-1,-1)</f>
        <v>0</v>
      </c>
      <c r="T71" s="805" cm="1" t="str">
        <f t="array" ref="T71:T71">T70</f>
        <v>false</v>
      </c>
      <c r="AB71" s="845" t="str">
        <f>AB70&amp;".1"</f>
        <v>8.1</v>
      </c>
      <c r="AC71" s="556" t="s">
        <v>589</v>
      </c>
      <c r="AD71" s="410" t="s">
        <v>586</v>
      </c>
      <c r="AE71" s="75"/>
      <c r="AF71" s="75"/>
      <c r="AG71" s="75"/>
      <c r="AH71" s="75"/>
      <c r="AI71" s="296"/>
      <c r="AJ71" s="1732"/>
      <c r="AK71" s="1732"/>
      <c r="AL71" s="75"/>
      <c r="AM71" s="75"/>
      <c r="AN71" s="75"/>
      <c r="AO71" s="75"/>
      <c r="AP71" s="75"/>
      <c r="AQ71" s="75"/>
      <c r="AR71" s="75"/>
      <c r="AS71" s="296"/>
      <c r="AT71" s="1732"/>
      <c r="AU71" s="1732"/>
      <c r="AV71" s="75"/>
      <c r="AW71" s="75"/>
      <c r="AX71" s="75"/>
      <c r="AY71" s="75"/>
      <c r="AZ71" s="75"/>
      <c r="BA71" s="75"/>
      <c r="BB71" s="75"/>
      <c r="BC71" s="80"/>
      <c r="BF71" s="1196" t="s">
        <v>653</v>
      </c>
    </row>
    <row customHeight="1" ht="16.672500000000003" hidden="1">
      <c r="E72" s="794">
        <v>17.1</v>
      </c>
      <c r="F72" s="920" cm="1" t="str">
        <f t="array" ref="F72:F72">OFFSET(G72,-1,-1)</f>
        <v>0</v>
      </c>
      <c r="T72" s="805" cm="1" t="str">
        <f t="array" ref="T72:T72">T71</f>
        <v>false</v>
      </c>
      <c r="AB72" s="845" t="str">
        <f>AB71&amp;".1"</f>
        <v>8.1.1</v>
      </c>
      <c r="AC72" s="680" t="s">
        <v>654</v>
      </c>
      <c r="AD72" s="410" t="s">
        <v>485</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655</v>
      </c>
    </row>
    <row customHeight="1" ht="16.672500000000003" hidden="1">
      <c r="E73" s="794">
        <v>17.1</v>
      </c>
      <c r="F73" s="920" cm="1" t="str">
        <f t="array" ref="F73:F73">OFFSET(G73,-1,-1)</f>
        <v>0</v>
      </c>
      <c r="T73" s="805" cm="1" t="str">
        <f t="array" ref="T73:T73">T72</f>
        <v>false</v>
      </c>
      <c r="AB73" s="845" t="str">
        <f>AB70&amp;".2"</f>
        <v>8.2</v>
      </c>
      <c r="AC73" s="556" t="s">
        <v>591</v>
      </c>
      <c r="AD73" s="410" t="s">
        <v>586</v>
      </c>
      <c r="AE73" s="75"/>
      <c r="AF73" s="75"/>
      <c r="AG73" s="75"/>
      <c r="AH73" s="75"/>
      <c r="AI73" s="296"/>
      <c r="AJ73" s="1732"/>
      <c r="AK73" s="1732"/>
      <c r="AL73" s="75"/>
      <c r="AM73" s="75"/>
      <c r="AN73" s="75"/>
      <c r="AO73" s="75"/>
      <c r="AP73" s="75"/>
      <c r="AQ73" s="75"/>
      <c r="AR73" s="75"/>
      <c r="AS73" s="296"/>
      <c r="AT73" s="1732"/>
      <c r="AU73" s="1732"/>
      <c r="AV73" s="75"/>
      <c r="AW73" s="75"/>
      <c r="AX73" s="75"/>
      <c r="AY73" s="75"/>
      <c r="AZ73" s="75"/>
      <c r="BA73" s="75"/>
      <c r="BB73" s="75"/>
      <c r="BC73" s="80"/>
      <c r="BF73" s="1196" t="s">
        <v>656</v>
      </c>
    </row>
    <row customHeight="1" ht="16.672500000000003" hidden="1">
      <c r="E74" s="794">
        <v>17.1</v>
      </c>
      <c r="F74" s="920" cm="1" t="str">
        <f t="array" ref="F74:F74">OFFSET(G74,-1,-1)</f>
        <v>0</v>
      </c>
      <c r="T74" s="805" cm="1" t="str">
        <f t="array" ref="T74:T74">T73</f>
        <v>false</v>
      </c>
      <c r="AB74" s="845" t="str">
        <f>AB73&amp;".1"</f>
        <v>8.2.1</v>
      </c>
      <c r="AC74" s="680" t="s">
        <v>654</v>
      </c>
      <c r="AD74" s="167" t="s">
        <v>485</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657</v>
      </c>
    </row>
    <row customHeight="1" ht="16.672500000000003" hidden="1">
      <c r="E75" s="794">
        <v>17.1</v>
      </c>
      <c r="F75" s="920" cm="1" t="str">
        <f t="array" ref="F75:F75">OFFSET(G75,-1,-1)</f>
        <v>0</v>
      </c>
      <c r="T75" s="805" cm="1" t="str">
        <f t="array" ref="T75:T75">T74</f>
        <v>false</v>
      </c>
      <c r="AB75" s="479" t="s">
        <v>658</v>
      </c>
      <c r="AC75" s="478" t="s">
        <v>659</v>
      </c>
      <c r="AD75" s="167" t="s">
        <v>586</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660</v>
      </c>
    </row>
    <row customHeight="1" ht="16.672500000000003" hidden="1">
      <c r="E76" s="794">
        <v>17.1</v>
      </c>
      <c r="F76" s="920" cm="1" t="str">
        <f t="array" ref="F76:F76">OFFSET(G76,-1,-1)</f>
        <v>0</v>
      </c>
      <c r="T76" s="805" cm="1" t="str">
        <f t="array" ref="T76:T76">T75</f>
        <v>false</v>
      </c>
      <c r="AB76" s="845" t="str">
        <f>AB75&amp;".1"</f>
        <v>9.1</v>
      </c>
      <c r="AC76" s="556" t="s">
        <v>589</v>
      </c>
      <c r="AD76" s="167" t="s">
        <v>586</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661</v>
      </c>
    </row>
    <row customHeight="1" ht="16.672500000000003" hidden="1">
      <c r="E77" s="794">
        <v>17.1</v>
      </c>
      <c r="F77" s="920" cm="1" t="str">
        <f t="array" ref="F77:F77">OFFSET(G77,-1,-1)</f>
        <v>0</v>
      </c>
      <c r="T77" s="805" cm="1" t="str">
        <f t="array" ref="T77:T77">T76</f>
        <v>false</v>
      </c>
      <c r="AB77" s="845" t="str">
        <f>AB76&amp;".1"</f>
        <v>9.1.1</v>
      </c>
      <c r="AC77" s="681" t="s">
        <v>630</v>
      </c>
      <c r="AD77" s="167" t="s">
        <v>586</v>
      </c>
      <c r="AE77" s="78"/>
      <c r="AF77" s="78"/>
      <c r="AG77" s="78"/>
      <c r="AH77" s="78"/>
      <c r="AI77" s="482"/>
      <c r="AJ77" s="1737"/>
      <c r="AK77" s="1737"/>
      <c r="AL77" s="78"/>
      <c r="AM77" s="78"/>
      <c r="AN77" s="78"/>
      <c r="AO77" s="78"/>
      <c r="AP77" s="78"/>
      <c r="AQ77" s="78"/>
      <c r="AR77" s="78"/>
      <c r="AS77" s="482"/>
      <c r="AT77" s="1737"/>
      <c r="AU77" s="1737"/>
      <c r="AV77" s="78"/>
      <c r="AW77" s="78"/>
      <c r="AX77" s="78"/>
      <c r="AY77" s="78"/>
      <c r="AZ77" s="78"/>
      <c r="BA77" s="78"/>
      <c r="BB77" s="78"/>
      <c r="BC77" s="74"/>
      <c r="BF77" s="1196" t="s">
        <v>662</v>
      </c>
    </row>
    <row customHeight="1" ht="16.672500000000003" hidden="1">
      <c r="E78" s="794">
        <v>17.1</v>
      </c>
      <c r="F78" s="920" cm="1" t="str">
        <f t="array" ref="F78:F78">OFFSET(G78,-1,-1)</f>
        <v>0</v>
      </c>
      <c r="T78" s="805" cm="1" t="str">
        <f t="array" ref="T78:T78">T77</f>
        <v>false</v>
      </c>
      <c r="AB78" s="845" t="str">
        <f>AB76&amp;".2"</f>
        <v>9.1.2</v>
      </c>
      <c r="AC78" s="682" t="s">
        <v>632</v>
      </c>
      <c r="AD78" s="167" t="s">
        <v>586</v>
      </c>
      <c r="AE78" s="82">
        <f>AE79+AE80+AE81+AE82</f>
        <v>0</v>
      </c>
      <c r="AF78" s="82">
        <f>AF79+AF80+AF81+AF82</f>
        <v>0</v>
      </c>
      <c r="AG78" s="82">
        <f>AG79+AG80+AG81+AG82</f>
        <v>0</v>
      </c>
      <c r="AH78" s="82">
        <f>AH79+AH80+AH81+AH82</f>
        <v>0</v>
      </c>
      <c r="AI78" s="1131">
        <f>AI79+AI80+AI81+AI82</f>
        <v>0</v>
      </c>
      <c r="AJ78" s="1741">
        <f>AJ79+AJ80+AJ81+AJ82</f>
        <v>0</v>
      </c>
      <c r="AK78" s="1741">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41">
        <f>AT79+AT80+AT81+AT82</f>
        <v>0</v>
      </c>
      <c r="AU78" s="1741">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663</v>
      </c>
    </row>
    <row customHeight="1" ht="16.672500000000003" hidden="1">
      <c r="E79" s="794">
        <v>17.1</v>
      </c>
      <c r="F79" s="920" cm="1" t="str">
        <f t="array" ref="F79:F79">OFFSET(G79,-1,-1)</f>
        <v>0</v>
      </c>
      <c r="T79" s="805" cm="1" t="str">
        <f t="array" ref="T79:T79">T78</f>
        <v>false</v>
      </c>
      <c r="AB79" s="845" t="str">
        <f>AB78&amp;".1"</f>
        <v>9.1.2.1</v>
      </c>
      <c r="AC79" s="683" t="s">
        <v>634</v>
      </c>
      <c r="AD79" s="410" t="s">
        <v>586</v>
      </c>
      <c r="AE79" s="83"/>
      <c r="AF79" s="83"/>
      <c r="AG79" s="83"/>
      <c r="AH79" s="83"/>
      <c r="AI79" s="560"/>
      <c r="AJ79" s="1742"/>
      <c r="AK79" s="1742"/>
      <c r="AL79" s="83"/>
      <c r="AM79" s="83"/>
      <c r="AN79" s="83"/>
      <c r="AO79" s="83"/>
      <c r="AP79" s="83"/>
      <c r="AQ79" s="83"/>
      <c r="AR79" s="83"/>
      <c r="AS79" s="560"/>
      <c r="AT79" s="1742"/>
      <c r="AU79" s="1742"/>
      <c r="AV79" s="83"/>
      <c r="AW79" s="83"/>
      <c r="AX79" s="83"/>
      <c r="AY79" s="83"/>
      <c r="AZ79" s="83"/>
      <c r="BA79" s="83"/>
      <c r="BB79" s="83"/>
      <c r="BC79" s="74"/>
      <c r="BF79" s="1196" t="s">
        <v>664</v>
      </c>
    </row>
    <row customHeight="1" ht="16.672500000000003" hidden="1">
      <c r="E80" s="794">
        <v>17.1</v>
      </c>
      <c r="F80" s="920" cm="1" t="str">
        <f t="array" ref="F80:F80">OFFSET(G80,-1,-1)</f>
        <v>0</v>
      </c>
      <c r="T80" s="805" cm="1" t="str">
        <f t="array" ref="T80:T80">T79</f>
        <v>false</v>
      </c>
      <c r="AB80" s="845" t="str">
        <f>AB78&amp;".2"</f>
        <v>9.1.2.2</v>
      </c>
      <c r="AC80" s="684" t="s">
        <v>636</v>
      </c>
      <c r="AD80" s="167" t="s">
        <v>586</v>
      </c>
      <c r="AE80" s="78"/>
      <c r="AF80" s="78"/>
      <c r="AG80" s="78"/>
      <c r="AH80" s="78"/>
      <c r="AI80" s="482"/>
      <c r="AJ80" s="1737"/>
      <c r="AK80" s="1737"/>
      <c r="AL80" s="78"/>
      <c r="AM80" s="78"/>
      <c r="AN80" s="78"/>
      <c r="AO80" s="78"/>
      <c r="AP80" s="78"/>
      <c r="AQ80" s="78"/>
      <c r="AR80" s="78"/>
      <c r="AS80" s="482"/>
      <c r="AT80" s="1737"/>
      <c r="AU80" s="1737"/>
      <c r="AV80" s="78"/>
      <c r="AW80" s="78"/>
      <c r="AX80" s="78"/>
      <c r="AY80" s="78"/>
      <c r="AZ80" s="78"/>
      <c r="BA80" s="78"/>
      <c r="BB80" s="78"/>
      <c r="BC80" s="74"/>
      <c r="BF80" s="1196" t="s">
        <v>665</v>
      </c>
    </row>
    <row customHeight="1" ht="16.672500000000003" hidden="1">
      <c r="E81" s="794">
        <v>17.1</v>
      </c>
      <c r="F81" s="920" cm="1" t="str">
        <f t="array" ref="F81:F81">OFFSET(G81,-1,-1)</f>
        <v>0</v>
      </c>
      <c r="T81" s="805" cm="1" t="str">
        <f t="array" ref="T81:T81">T80</f>
        <v>false</v>
      </c>
      <c r="AB81" s="845" t="str">
        <f>AB78&amp;".3"</f>
        <v>9.1.2.3</v>
      </c>
      <c r="AC81" s="684" t="s">
        <v>638</v>
      </c>
      <c r="AD81" s="167" t="s">
        <v>586</v>
      </c>
      <c r="AE81" s="79"/>
      <c r="AF81" s="79"/>
      <c r="AG81" s="79"/>
      <c r="AH81" s="79"/>
      <c r="AI81" s="563"/>
      <c r="AJ81" s="1738"/>
      <c r="AK81" s="1738"/>
      <c r="AL81" s="79"/>
      <c r="AM81" s="79"/>
      <c r="AN81" s="79"/>
      <c r="AO81" s="79"/>
      <c r="AP81" s="79"/>
      <c r="AQ81" s="79"/>
      <c r="AR81" s="79"/>
      <c r="AS81" s="563"/>
      <c r="AT81" s="1738"/>
      <c r="AU81" s="1738"/>
      <c r="AV81" s="79"/>
      <c r="AW81" s="79"/>
      <c r="AX81" s="79"/>
      <c r="AY81" s="79"/>
      <c r="AZ81" s="79"/>
      <c r="BA81" s="79"/>
      <c r="BB81" s="79"/>
      <c r="BC81" s="74"/>
      <c r="BF81" s="1196" t="s">
        <v>666</v>
      </c>
    </row>
    <row customHeight="1" ht="16.672500000000003" hidden="1">
      <c r="E82" s="794">
        <v>17.1</v>
      </c>
      <c r="F82" s="920" cm="1" t="str">
        <f t="array" ref="F82:F82">OFFSET(G82,-1,-1)</f>
        <v>0</v>
      </c>
      <c r="T82" s="805" cm="1" t="str">
        <f t="array" ref="T82:T82">T81</f>
        <v>false</v>
      </c>
      <c r="AB82" s="845" t="str">
        <f>AB78&amp;".4"</f>
        <v>9.1.2.4</v>
      </c>
      <c r="AC82" s="684" t="s">
        <v>640</v>
      </c>
      <c r="AD82" s="410" t="s">
        <v>586</v>
      </c>
      <c r="AE82" s="75"/>
      <c r="AF82" s="77"/>
      <c r="AG82" s="75"/>
      <c r="AH82" s="75"/>
      <c r="AI82" s="296"/>
      <c r="AJ82" s="1732"/>
      <c r="AK82" s="1732"/>
      <c r="AL82" s="75"/>
      <c r="AM82" s="75"/>
      <c r="AN82" s="75"/>
      <c r="AO82" s="75"/>
      <c r="AP82" s="75"/>
      <c r="AQ82" s="75"/>
      <c r="AR82" s="75"/>
      <c r="AS82" s="296"/>
      <c r="AT82" s="1732"/>
      <c r="AU82" s="1732"/>
      <c r="AV82" s="75"/>
      <c r="AW82" s="75"/>
      <c r="AX82" s="75"/>
      <c r="AY82" s="75"/>
      <c r="AZ82" s="75"/>
      <c r="BA82" s="75"/>
      <c r="BB82" s="75"/>
      <c r="BC82" s="74"/>
      <c r="BF82" s="1196" t="s">
        <v>667</v>
      </c>
    </row>
    <row customHeight="1" ht="16.672500000000003" hidden="1">
      <c r="E83" s="794">
        <v>17.1</v>
      </c>
      <c r="F83" s="920" cm="1" t="str">
        <f t="array" ref="F83:F83">OFFSET(G83,-1,-1)</f>
        <v>0</v>
      </c>
      <c r="T83" s="805" cm="1" t="str">
        <f t="array" ref="T83:T83">T82</f>
        <v>false</v>
      </c>
      <c r="AB83" s="845" t="str">
        <f>AB75&amp;".2"</f>
        <v>9.2</v>
      </c>
      <c r="AC83" s="556" t="s">
        <v>591</v>
      </c>
      <c r="AD83" s="410" t="s">
        <v>586</v>
      </c>
      <c r="AE83" s="75">
        <f>AE69-AE73</f>
        <v>0</v>
      </c>
      <c r="AF83" s="75">
        <f>AF69-AF73</f>
        <v>0</v>
      </c>
      <c r="AG83" s="75">
        <f>AG69-AG73</f>
        <v>0</v>
      </c>
      <c r="AH83" s="75">
        <f>AH69-AH73</f>
        <v>0</v>
      </c>
      <c r="AI83" s="296">
        <f>AI69-AI73</f>
        <v>0</v>
      </c>
      <c r="AJ83" s="1732">
        <f>AJ69-AJ73</f>
        <v>0</v>
      </c>
      <c r="AK83" s="1732">
        <f>AK69-AK73</f>
        <v>0</v>
      </c>
      <c r="AL83" s="75">
        <f>AL69-AL73</f>
        <v>0</v>
      </c>
      <c r="AM83" s="75">
        <f>AM69-AM73</f>
        <v>0</v>
      </c>
      <c r="AN83" s="75">
        <f>AN69-AN73</f>
        <v>0</v>
      </c>
      <c r="AO83" s="75">
        <f>AO69-AO73</f>
        <v>0</v>
      </c>
      <c r="AP83" s="75">
        <f>AP69-AP73</f>
        <v>0</v>
      </c>
      <c r="AQ83" s="75">
        <f>AQ69-AQ73</f>
        <v>0</v>
      </c>
      <c r="AR83" s="75">
        <f>AR69-AR73</f>
        <v>0</v>
      </c>
      <c r="AS83" s="296">
        <f>AS69-AS73</f>
        <v>0</v>
      </c>
      <c r="AT83" s="1732">
        <f>AT69-AT73</f>
        <v>0</v>
      </c>
      <c r="AU83" s="1732">
        <f>AU69-AU73</f>
        <v>0</v>
      </c>
      <c r="AV83" s="75">
        <f>AV69-AV73</f>
        <v>0</v>
      </c>
      <c r="AW83" s="75">
        <f>AW69-AW73</f>
        <v>0</v>
      </c>
      <c r="AX83" s="75">
        <f>AX69-AX73</f>
        <v>0</v>
      </c>
      <c r="AY83" s="75">
        <f>AY69-AY73</f>
        <v>0</v>
      </c>
      <c r="AZ83" s="75">
        <f>AZ69-AZ73</f>
        <v>0</v>
      </c>
      <c r="BA83" s="75">
        <f>BA69-BA73</f>
        <v>0</v>
      </c>
      <c r="BB83" s="75">
        <f>BB69-BB73</f>
        <v>0</v>
      </c>
      <c r="BC83" s="74"/>
      <c r="BF83" s="1196" t="s">
        <v>668</v>
      </c>
    </row>
    <row customHeight="1" ht="16.672500000000003" hidden="1">
      <c r="E84" s="794">
        <v>17.1</v>
      </c>
      <c r="F84" s="920" cm="1" t="str">
        <f t="array" ref="F84:F84">OFFSET(G84,-1,-1)</f>
        <v>0</v>
      </c>
      <c r="T84" s="805" cm="1" t="str">
        <f t="array" ref="T84:T84">T83</f>
        <v>false</v>
      </c>
      <c r="AB84" s="484" t="s">
        <v>669</v>
      </c>
      <c r="AC84" s="681" t="s">
        <v>630</v>
      </c>
      <c r="AD84" s="410" t="s">
        <v>586</v>
      </c>
      <c r="AE84" s="75"/>
      <c r="AF84" s="75"/>
      <c r="AG84" s="75"/>
      <c r="AH84" s="75"/>
      <c r="AI84" s="296"/>
      <c r="AJ84" s="1732"/>
      <c r="AK84" s="1732"/>
      <c r="AL84" s="75"/>
      <c r="AM84" s="75"/>
      <c r="AN84" s="75"/>
      <c r="AO84" s="75"/>
      <c r="AP84" s="75"/>
      <c r="AQ84" s="75"/>
      <c r="AR84" s="75"/>
      <c r="AS84" s="296"/>
      <c r="AT84" s="1732"/>
      <c r="AU84" s="1732"/>
      <c r="AV84" s="75"/>
      <c r="AW84" s="75"/>
      <c r="AX84" s="75"/>
      <c r="AY84" s="75"/>
      <c r="AZ84" s="75"/>
      <c r="BA84" s="75"/>
      <c r="BB84" s="75"/>
      <c r="BC84" s="74"/>
      <c r="BF84" s="1196" t="s">
        <v>670</v>
      </c>
    </row>
    <row customHeight="1" ht="16.672500000000003" hidden="1">
      <c r="E85" s="794">
        <v>17.1</v>
      </c>
      <c r="F85" s="920" cm="1" t="str">
        <f t="array" ref="F85:F85">OFFSET(G85,-1,-1)</f>
        <v>0</v>
      </c>
      <c r="T85" s="805" cm="1" t="str">
        <f t="array" ref="T85:T85">T84</f>
        <v>false</v>
      </c>
      <c r="AB85" s="485" t="s">
        <v>671</v>
      </c>
      <c r="AC85" s="682" t="s">
        <v>632</v>
      </c>
      <c r="AD85" s="167" t="s">
        <v>586</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672</v>
      </c>
    </row>
    <row customHeight="1" ht="16.672500000000003" hidden="1">
      <c r="E86" s="794">
        <v>17.1</v>
      </c>
      <c r="F86" s="920" cm="1" t="str">
        <f t="array" ref="F86:F86">OFFSET(G86,-1,-1)</f>
        <v>0</v>
      </c>
      <c r="T86" s="805" cm="1" t="str">
        <f t="array" ref="T86:T86">T85</f>
        <v>false</v>
      </c>
      <c r="AB86" s="484" t="s">
        <v>673</v>
      </c>
      <c r="AC86" s="683" t="s">
        <v>634</v>
      </c>
      <c r="AD86" s="410" t="s">
        <v>586</v>
      </c>
      <c r="AE86" s="83"/>
      <c r="AF86" s="83"/>
      <c r="AG86" s="83"/>
      <c r="AH86" s="83"/>
      <c r="AI86" s="560"/>
      <c r="AJ86" s="1742"/>
      <c r="AK86" s="1742"/>
      <c r="AL86" s="83"/>
      <c r="AM86" s="83"/>
      <c r="AN86" s="83"/>
      <c r="AO86" s="83"/>
      <c r="AP86" s="83"/>
      <c r="AQ86" s="83"/>
      <c r="AR86" s="83"/>
      <c r="AS86" s="560"/>
      <c r="AT86" s="1742"/>
      <c r="AU86" s="1742"/>
      <c r="AV86" s="83"/>
      <c r="AW86" s="83"/>
      <c r="AX86" s="83"/>
      <c r="AY86" s="83"/>
      <c r="AZ86" s="83"/>
      <c r="BA86" s="83"/>
      <c r="BB86" s="83"/>
      <c r="BC86" s="74"/>
      <c r="BF86" s="1196" t="s">
        <v>674</v>
      </c>
    </row>
    <row customHeight="1" ht="16.672500000000003" hidden="1">
      <c r="E87" s="794">
        <v>17.1</v>
      </c>
      <c r="F87" s="920" cm="1" t="str">
        <f t="array" ref="F87:F87">OFFSET(G87,-1,-1)</f>
        <v>0</v>
      </c>
      <c r="T87" s="805" cm="1" t="str">
        <f t="array" ref="T87:T87">T86</f>
        <v>false</v>
      </c>
      <c r="AB87" s="484" t="s">
        <v>675</v>
      </c>
      <c r="AC87" s="684" t="s">
        <v>636</v>
      </c>
      <c r="AD87" s="167" t="s">
        <v>586</v>
      </c>
      <c r="AE87" s="79"/>
      <c r="AF87" s="79"/>
      <c r="AG87" s="79"/>
      <c r="AH87" s="79"/>
      <c r="AI87" s="563"/>
      <c r="AJ87" s="1738"/>
      <c r="AK87" s="1738"/>
      <c r="AL87" s="79"/>
      <c r="AM87" s="79"/>
      <c r="AN87" s="79"/>
      <c r="AO87" s="79"/>
      <c r="AP87" s="79"/>
      <c r="AQ87" s="79"/>
      <c r="AR87" s="79"/>
      <c r="AS87" s="563"/>
      <c r="AT87" s="1738"/>
      <c r="AU87" s="1738"/>
      <c r="AV87" s="79"/>
      <c r="AW87" s="79"/>
      <c r="AX87" s="79"/>
      <c r="AY87" s="79"/>
      <c r="AZ87" s="79"/>
      <c r="BA87" s="79"/>
      <c r="BB87" s="79"/>
      <c r="BC87" s="74"/>
      <c r="BF87" s="1196" t="s">
        <v>676</v>
      </c>
    </row>
    <row customHeight="1" ht="16.672500000000003" hidden="1">
      <c r="E88" s="794">
        <v>17.1</v>
      </c>
      <c r="F88" s="920" cm="1" t="str">
        <f t="array" ref="F88:F88">OFFSET(G88,-1,-1)</f>
        <v>0</v>
      </c>
      <c r="T88" s="805" cm="1" t="str">
        <f t="array" ref="T88:T88">T87</f>
        <v>false</v>
      </c>
      <c r="AB88" s="856" t="s">
        <v>677</v>
      </c>
      <c r="AC88" s="684" t="s">
        <v>638</v>
      </c>
      <c r="AD88" s="410" t="s">
        <v>586</v>
      </c>
      <c r="AE88" s="75"/>
      <c r="AF88" s="75"/>
      <c r="AG88" s="75"/>
      <c r="AH88" s="75"/>
      <c r="AI88" s="296"/>
      <c r="AJ88" s="1732"/>
      <c r="AK88" s="1732"/>
      <c r="AL88" s="75"/>
      <c r="AM88" s="75"/>
      <c r="AN88" s="75"/>
      <c r="AO88" s="75"/>
      <c r="AP88" s="75"/>
      <c r="AQ88" s="75"/>
      <c r="AR88" s="75"/>
      <c r="AS88" s="296"/>
      <c r="AT88" s="1732"/>
      <c r="AU88" s="1732"/>
      <c r="AV88" s="75"/>
      <c r="AW88" s="75"/>
      <c r="AX88" s="75"/>
      <c r="AY88" s="75"/>
      <c r="AZ88" s="75"/>
      <c r="BA88" s="75"/>
      <c r="BB88" s="75"/>
      <c r="BC88" s="74"/>
      <c r="BF88" s="1196" t="s">
        <v>678</v>
      </c>
    </row>
    <row customHeight="1" ht="16.672500000000003" hidden="1">
      <c r="E89" s="794">
        <v>17.1</v>
      </c>
      <c r="F89" s="920" cm="1" t="str">
        <f t="array" ref="F89:F89">OFFSET(G89,-1,-1)</f>
        <v>0</v>
      </c>
      <c r="T89" s="805" cm="1" t="str">
        <f t="array" ref="T89:T89">T88</f>
        <v>false</v>
      </c>
      <c r="AB89" s="857" t="s">
        <v>679</v>
      </c>
      <c r="AC89" s="684" t="s">
        <v>640</v>
      </c>
      <c r="AD89" s="410" t="s">
        <v>586</v>
      </c>
      <c r="AE89" s="75"/>
      <c r="AF89" s="75"/>
      <c r="AG89" s="75"/>
      <c r="AH89" s="75"/>
      <c r="AI89" s="296"/>
      <c r="AJ89" s="1732"/>
      <c r="AK89" s="1732"/>
      <c r="AL89" s="75"/>
      <c r="AM89" s="75"/>
      <c r="AN89" s="75"/>
      <c r="AO89" s="75"/>
      <c r="AP89" s="75"/>
      <c r="AQ89" s="75"/>
      <c r="AR89" s="75"/>
      <c r="AS89" s="296"/>
      <c r="AT89" s="1732"/>
      <c r="AU89" s="1732"/>
      <c r="AV89" s="75"/>
      <c r="AW89" s="75"/>
      <c r="AX89" s="75"/>
      <c r="AY89" s="75"/>
      <c r="AZ89" s="75"/>
      <c r="BA89" s="75"/>
      <c r="BB89" s="75"/>
      <c r="BC89" s="74"/>
      <c r="BF89" s="1196" t="s">
        <v>680</v>
      </c>
    </row>
    <row customHeight="1" ht="24.862499999999997" hidden="1">
      <c r="E90" s="794">
        <v>25.5</v>
      </c>
      <c r="F90" s="920" cm="1" t="str">
        <f t="array" ref="F90:F90">OFFSET(G90,-1,-1)</f>
        <v>0</v>
      </c>
      <c r="O90" s="736" t="s">
        <v>681</v>
      </c>
      <c r="T90" s="805">
        <f>AND(T89,H28="двухставочный")</f>
        <v>0</v>
      </c>
      <c r="AB90" s="322" t="s">
        <v>682</v>
      </c>
      <c r="AC90" s="594" t="s">
        <v>683</v>
      </c>
      <c r="AD90" s="508" t="s">
        <v>684</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685</v>
      </c>
    </row>
    <row customHeight="1" ht="16.672500000000003" hidden="1">
      <c r="E91" s="794">
        <v>17.1</v>
      </c>
      <c r="F91" s="920" cm="1" t="str">
        <f t="array" ref="F91:F91">OFFSET(G91,-1,-1)</f>
        <v>0</v>
      </c>
      <c r="O91" s="736" t="s">
        <v>681</v>
      </c>
      <c r="T91" s="805" cm="1" t="str">
        <f t="array" ref="T91:T91">T90</f>
        <v>false</v>
      </c>
      <c r="AB91" s="845" t="str">
        <f>AB90&amp;".1"</f>
        <v>10.1</v>
      </c>
      <c r="AC91" s="561" t="s">
        <v>634</v>
      </c>
      <c r="AD91" s="508" t="s">
        <v>684</v>
      </c>
      <c r="AE91" s="75"/>
      <c r="AF91" s="75"/>
      <c r="AG91" s="75"/>
      <c r="AH91" s="75"/>
      <c r="AI91" s="296"/>
      <c r="AJ91" s="1732"/>
      <c r="AK91" s="1732"/>
      <c r="AL91" s="75"/>
      <c r="AM91" s="75"/>
      <c r="AN91" s="75"/>
      <c r="AO91" s="75"/>
      <c r="AP91" s="75"/>
      <c r="AQ91" s="75"/>
      <c r="AR91" s="75"/>
      <c r="AS91" s="296"/>
      <c r="AT91" s="1732"/>
      <c r="AU91" s="1732"/>
      <c r="AV91" s="75"/>
      <c r="AW91" s="75"/>
      <c r="AX91" s="75"/>
      <c r="AY91" s="75"/>
      <c r="AZ91" s="75"/>
      <c r="BA91" s="75"/>
      <c r="BB91" s="84"/>
      <c r="BC91" s="74"/>
      <c r="BF91" s="1196" t="s">
        <v>686</v>
      </c>
    </row>
    <row customHeight="1" ht="16.672500000000003" hidden="1">
      <c r="E92" s="794">
        <v>17.1</v>
      </c>
      <c r="F92" s="920" cm="1" t="str">
        <f t="array" ref="F92:F92">OFFSET(G92,-1,-1)</f>
        <v>0</v>
      </c>
      <c r="O92" s="736" t="s">
        <v>681</v>
      </c>
      <c r="T92" s="805" cm="1" t="str">
        <f t="array" ref="T92:T92">T91</f>
        <v>false</v>
      </c>
      <c r="AB92" s="845" t="str">
        <f>AB90&amp;".2"</f>
        <v>10.2</v>
      </c>
      <c r="AC92" s="415" t="s">
        <v>636</v>
      </c>
      <c r="AD92" s="508" t="s">
        <v>684</v>
      </c>
      <c r="AE92" s="75"/>
      <c r="AF92" s="75"/>
      <c r="AG92" s="75"/>
      <c r="AH92" s="75"/>
      <c r="AI92" s="296"/>
      <c r="AJ92" s="1732"/>
      <c r="AK92" s="1732"/>
      <c r="AL92" s="75"/>
      <c r="AM92" s="75"/>
      <c r="AN92" s="75"/>
      <c r="AO92" s="75"/>
      <c r="AP92" s="75"/>
      <c r="AQ92" s="75"/>
      <c r="AR92" s="75"/>
      <c r="AS92" s="296"/>
      <c r="AT92" s="1732"/>
      <c r="AU92" s="1732"/>
      <c r="AV92" s="75"/>
      <c r="AW92" s="75"/>
      <c r="AX92" s="75"/>
      <c r="AY92" s="75"/>
      <c r="AZ92" s="75"/>
      <c r="BA92" s="75"/>
      <c r="BB92" s="84"/>
      <c r="BC92" s="74"/>
      <c r="BF92" s="1196" t="s">
        <v>687</v>
      </c>
    </row>
    <row customHeight="1" ht="16.672500000000003" hidden="1">
      <c r="E93" s="794">
        <v>17.1</v>
      </c>
      <c r="F93" s="920" cm="1" t="str">
        <f t="array" ref="F93:F93">OFFSET(G93,-1,-1)</f>
        <v>0</v>
      </c>
      <c r="O93" s="736" t="s">
        <v>681</v>
      </c>
      <c r="T93" s="805" cm="1" t="str">
        <f t="array" ref="T93:T93">T92</f>
        <v>false</v>
      </c>
      <c r="AB93" s="845" t="str">
        <f>AB90&amp;".3"</f>
        <v>10.3</v>
      </c>
      <c r="AC93" s="415" t="s">
        <v>638</v>
      </c>
      <c r="AD93" s="508" t="s">
        <v>684</v>
      </c>
      <c r="AE93" s="75"/>
      <c r="AF93" s="75"/>
      <c r="AG93" s="75"/>
      <c r="AH93" s="75"/>
      <c r="AI93" s="296"/>
      <c r="AJ93" s="1732"/>
      <c r="AK93" s="1732"/>
      <c r="AL93" s="75"/>
      <c r="AM93" s="75"/>
      <c r="AN93" s="75"/>
      <c r="AO93" s="75"/>
      <c r="AP93" s="75"/>
      <c r="AQ93" s="75"/>
      <c r="AR93" s="75"/>
      <c r="AS93" s="296"/>
      <c r="AT93" s="1732"/>
      <c r="AU93" s="1732"/>
      <c r="AV93" s="75"/>
      <c r="AW93" s="75"/>
      <c r="AX93" s="75"/>
      <c r="AY93" s="75"/>
      <c r="AZ93" s="75"/>
      <c r="BA93" s="75"/>
      <c r="BB93" s="84"/>
      <c r="BC93" s="74"/>
      <c r="BF93" s="1196" t="s">
        <v>688</v>
      </c>
    </row>
    <row customHeight="1" ht="16.672500000000003" hidden="1">
      <c r="E94" s="794">
        <v>17.1</v>
      </c>
      <c r="F94" s="920" cm="1" t="str">
        <f t="array" ref="F94:F94">OFFSET(G94,-1,-1)</f>
        <v>0</v>
      </c>
      <c r="O94" s="736" t="s">
        <v>681</v>
      </c>
      <c r="T94" s="805" cm="1" t="str">
        <f t="array" ref="T94:T94">T93</f>
        <v>false</v>
      </c>
      <c r="AB94" s="845" t="str">
        <f>AB90&amp;".4"</f>
        <v>10.4</v>
      </c>
      <c r="AC94" s="415" t="s">
        <v>640</v>
      </c>
      <c r="AD94" s="596" t="s">
        <v>684</v>
      </c>
      <c r="AE94" s="76"/>
      <c r="AF94" s="76"/>
      <c r="AG94" s="76"/>
      <c r="AH94" s="76"/>
      <c r="AI94" s="592"/>
      <c r="AJ94" s="1733"/>
      <c r="AK94" s="1733"/>
      <c r="AL94" s="76"/>
      <c r="AM94" s="76"/>
      <c r="AN94" s="76"/>
      <c r="AO94" s="76"/>
      <c r="AP94" s="76"/>
      <c r="AQ94" s="76"/>
      <c r="AR94" s="76"/>
      <c r="AS94" s="592"/>
      <c r="AT94" s="1733"/>
      <c r="AU94" s="1733"/>
      <c r="AV94" s="76"/>
      <c r="AW94" s="76"/>
      <c r="AX94" s="76"/>
      <c r="AY94" s="76"/>
      <c r="AZ94" s="76"/>
      <c r="BA94" s="76"/>
      <c r="BB94" s="85"/>
      <c r="BC94" s="69"/>
      <c r="BF94" s="1196" t="s">
        <v>689</v>
      </c>
    </row>
    <row customHeight="1" ht="52.650000000000006" hidden="1">
      <c r="E95" s="794">
        <v>54</v>
      </c>
      <c r="F95" s="920" cm="1" t="str">
        <f t="array" ref="F95:F95">OFFSET(G95,-1,-1)</f>
        <v>0</v>
      </c>
      <c r="O95" s="736" t="s">
        <v>681</v>
      </c>
      <c r="T95" s="805" cm="1" t="str">
        <f t="array" ref="T95:T95">T94</f>
        <v>false</v>
      </c>
      <c r="AB95" s="322" t="s">
        <v>690</v>
      </c>
      <c r="AC95" s="595" t="s">
        <v>691</v>
      </c>
      <c r="AD95" s="154"/>
      <c r="AE95" s="75"/>
      <c r="AF95" s="75"/>
      <c r="AG95" s="75"/>
      <c r="AH95" s="75"/>
      <c r="AI95" s="296"/>
      <c r="AJ95" s="1732"/>
      <c r="AK95" s="1732"/>
      <c r="AL95" s="75"/>
      <c r="AM95" s="75"/>
      <c r="AN95" s="75"/>
      <c r="AO95" s="75"/>
      <c r="AP95" s="75"/>
      <c r="AQ95" s="75"/>
      <c r="AR95" s="75"/>
      <c r="AS95" s="296"/>
      <c r="AT95" s="1732"/>
      <c r="AU95" s="1732"/>
      <c r="AV95" s="75"/>
      <c r="AW95" s="75"/>
      <c r="AX95" s="75"/>
      <c r="AY95" s="75"/>
      <c r="AZ95" s="75"/>
      <c r="BA95" s="75"/>
      <c r="BB95" s="75"/>
      <c r="BC95" s="80"/>
      <c r="BF95" s="1196" t="s">
        <v>692</v>
      </c>
    </row>
    <row s="1642" customFormat="1" customHeight="1" ht="10.5" hidden="1">
      <c r="A96" s="1184"/>
      <c r="B96" s="925"/>
      <c r="C96" s="1437"/>
      <c r="D96" s="1437"/>
      <c r="E96" s="794">
        <v>11.4</v>
      </c>
      <c r="F96" s="920"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37"/>
      <c r="V96" s="172" cm="1" t="str">
        <f t="array" ref="V96:V96">'Сценарии (МСА)'!$AB$35</f>
        <v>Тариф 1 (Теплоснабжение) - Тарифы на услуги по передаче тепловой энергии, теплоносителя (Не определено)</v>
      </c>
      <c r="W96" s="1437"/>
      <c r="X96" s="172" t="s">
        <v>337</v>
      </c>
      <c r="Y96" s="1437"/>
      <c r="Z96" s="1437"/>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42" customFormat="1" customHeight="1" ht="16.5" hidden="1">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false</v>
      </c>
      <c r="U97" s="1437"/>
      <c r="V97" s="1437"/>
      <c r="W97" s="1437"/>
      <c r="X97" s="1437"/>
      <c r="Y97" s="1437"/>
      <c r="Z97" s="1437"/>
      <c r="AA97" s="497"/>
      <c r="AB97" s="322" t="s">
        <v>337</v>
      </c>
      <c r="AC97" s="160" t="s">
        <v>585</v>
      </c>
      <c r="AD97" s="166" t="s">
        <v>586</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4"/>
      <c r="BD97" s="497"/>
      <c r="BE97" s="497"/>
      <c r="BF97" s="1196" t="s">
        <v>587</v>
      </c>
    </row>
    <row s="1642" customFormat="1" customHeight="1" ht="16.5" hidden="1">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false</v>
      </c>
      <c r="U98" s="1437"/>
      <c r="V98" s="1437"/>
      <c r="W98" s="1437"/>
      <c r="X98" s="1437"/>
      <c r="Y98" s="1437"/>
      <c r="Z98" s="1437"/>
      <c r="AA98" s="497"/>
      <c r="AB98" s="154" t="str">
        <f>AB97&amp;".1"</f>
        <v>1.1</v>
      </c>
      <c r="AC98" s="161" t="s">
        <v>417</v>
      </c>
      <c r="AD98" s="166" t="s">
        <v>586</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4"/>
      <c r="BD98" s="497"/>
      <c r="BE98" s="497"/>
      <c r="BF98" s="1196" t="s">
        <v>588</v>
      </c>
    </row>
    <row s="1642" customFormat="1" customHeight="1" ht="16.5" hidden="1">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false</v>
      </c>
      <c r="U99" s="1437"/>
      <c r="V99" s="1437"/>
      <c r="W99" s="1437"/>
      <c r="X99" s="1437"/>
      <c r="Y99" s="1437"/>
      <c r="Z99" s="1437"/>
      <c r="AA99" s="497"/>
      <c r="AB99" s="154" t="str">
        <f>AB98&amp;".1"</f>
        <v>1.1.1</v>
      </c>
      <c r="AC99" s="559" t="s">
        <v>589</v>
      </c>
      <c r="AD99" s="166" t="s">
        <v>586</v>
      </c>
      <c r="AE99" s="75"/>
      <c r="AF99" s="75"/>
      <c r="AG99" s="75"/>
      <c r="AH99" s="75"/>
      <c r="AI99" s="1732"/>
      <c r="AJ99" s="1732"/>
      <c r="AK99" s="1732"/>
      <c r="AL99" s="75"/>
      <c r="AM99" s="75"/>
      <c r="AN99" s="75"/>
      <c r="AO99" s="75"/>
      <c r="AP99" s="75"/>
      <c r="AQ99" s="75"/>
      <c r="AR99" s="75"/>
      <c r="AS99" s="1732"/>
      <c r="AT99" s="1732"/>
      <c r="AU99" s="1732"/>
      <c r="AV99" s="75"/>
      <c r="AW99" s="75"/>
      <c r="AX99" s="75"/>
      <c r="AY99" s="75"/>
      <c r="AZ99" s="75"/>
      <c r="BA99" s="75"/>
      <c r="BB99" s="75"/>
      <c r="BC99" s="74"/>
      <c r="BD99" s="497"/>
      <c r="BE99" s="497"/>
      <c r="BF99" s="1196" t="s">
        <v>590</v>
      </c>
    </row>
    <row s="1642" customFormat="1" customHeight="1" ht="16.5" hidden="1">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37"/>
      <c r="V100" s="1437"/>
      <c r="W100" s="1437"/>
      <c r="X100" s="1437"/>
      <c r="Y100" s="1437"/>
      <c r="Z100" s="1437"/>
      <c r="AA100" s="497"/>
      <c r="AB100" s="154" t="str">
        <f>AB98&amp;".2"</f>
        <v>1.1.2</v>
      </c>
      <c r="AC100" s="559" t="s">
        <v>591</v>
      </c>
      <c r="AD100" s="166" t="s">
        <v>586</v>
      </c>
      <c r="AE100" s="75"/>
      <c r="AF100" s="75"/>
      <c r="AG100" s="75"/>
      <c r="AH100" s="75"/>
      <c r="AI100" s="1732"/>
      <c r="AJ100" s="1732"/>
      <c r="AK100" s="1732"/>
      <c r="AL100" s="75"/>
      <c r="AM100" s="75"/>
      <c r="AN100" s="75"/>
      <c r="AO100" s="75"/>
      <c r="AP100" s="75"/>
      <c r="AQ100" s="75"/>
      <c r="AR100" s="75"/>
      <c r="AS100" s="1732"/>
      <c r="AT100" s="1732"/>
      <c r="AU100" s="1732"/>
      <c r="AV100" s="75"/>
      <c r="AW100" s="75"/>
      <c r="AX100" s="75"/>
      <c r="AY100" s="75"/>
      <c r="AZ100" s="75"/>
      <c r="BA100" s="75"/>
      <c r="BB100" s="75"/>
      <c r="BC100" s="74"/>
      <c r="BD100" s="497"/>
      <c r="BE100" s="497"/>
      <c r="BF100" s="1196" t="s">
        <v>592</v>
      </c>
    </row>
    <row s="1642" customFormat="1" customHeight="1" ht="16.5" hidden="1">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37"/>
      <c r="V101" s="1437"/>
      <c r="W101" s="1437"/>
      <c r="X101" s="1437"/>
      <c r="Y101" s="1437"/>
      <c r="Z101" s="1437"/>
      <c r="AA101" s="497"/>
      <c r="AB101" s="154" t="str">
        <f>AB97&amp;".2"</f>
        <v>1.2</v>
      </c>
      <c r="AC101" s="161" t="s">
        <v>593</v>
      </c>
      <c r="AD101" s="166" t="s">
        <v>586</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4"/>
      <c r="BD101" s="497"/>
      <c r="BE101" s="497"/>
      <c r="BF101" s="1196" t="s">
        <v>594</v>
      </c>
    </row>
    <row s="1642" customFormat="1" customHeight="1" ht="16.5" hidden="1">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37"/>
      <c r="V102" s="1437"/>
      <c r="W102" s="1437"/>
      <c r="X102" s="1437"/>
      <c r="Y102" s="1437"/>
      <c r="Z102" s="1437"/>
      <c r="AA102" s="497"/>
      <c r="AB102" s="154" t="str">
        <f>AB101&amp;".1"</f>
        <v>1.2.1</v>
      </c>
      <c r="AC102" s="559" t="s">
        <v>589</v>
      </c>
      <c r="AD102" s="166" t="s">
        <v>586</v>
      </c>
      <c r="AE102" s="75"/>
      <c r="AF102" s="75"/>
      <c r="AG102" s="75"/>
      <c r="AH102" s="75"/>
      <c r="AI102" s="1732"/>
      <c r="AJ102" s="1732"/>
      <c r="AK102" s="1732"/>
      <c r="AL102" s="75"/>
      <c r="AM102" s="75"/>
      <c r="AN102" s="75"/>
      <c r="AO102" s="75"/>
      <c r="AP102" s="75"/>
      <c r="AQ102" s="75"/>
      <c r="AR102" s="75"/>
      <c r="AS102" s="1732"/>
      <c r="AT102" s="1732"/>
      <c r="AU102" s="1732"/>
      <c r="AV102" s="75"/>
      <c r="AW102" s="75"/>
      <c r="AX102" s="75"/>
      <c r="AY102" s="75"/>
      <c r="AZ102" s="75"/>
      <c r="BA102" s="75"/>
      <c r="BB102" s="75"/>
      <c r="BC102" s="74"/>
      <c r="BD102" s="497"/>
      <c r="BE102" s="497"/>
      <c r="BF102" s="1196" t="s">
        <v>595</v>
      </c>
    </row>
    <row s="1642" customFormat="1" customHeight="1" ht="16.5" hidden="1">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37"/>
      <c r="V103" s="1437"/>
      <c r="W103" s="1437"/>
      <c r="X103" s="1437"/>
      <c r="Y103" s="1437"/>
      <c r="Z103" s="1437"/>
      <c r="AA103" s="497"/>
      <c r="AB103" s="154" t="str">
        <f>AB101&amp;".2"</f>
        <v>1.2.2</v>
      </c>
      <c r="AC103" s="559" t="s">
        <v>591</v>
      </c>
      <c r="AD103" s="166" t="s">
        <v>586</v>
      </c>
      <c r="AE103" s="75"/>
      <c r="AF103" s="75"/>
      <c r="AG103" s="75"/>
      <c r="AH103" s="75"/>
      <c r="AI103" s="1732"/>
      <c r="AJ103" s="1732"/>
      <c r="AK103" s="1732"/>
      <c r="AL103" s="75"/>
      <c r="AM103" s="75"/>
      <c r="AN103" s="75"/>
      <c r="AO103" s="75"/>
      <c r="AP103" s="75"/>
      <c r="AQ103" s="75"/>
      <c r="AR103" s="75"/>
      <c r="AS103" s="1732"/>
      <c r="AT103" s="1732"/>
      <c r="AU103" s="1732"/>
      <c r="AV103" s="75"/>
      <c r="AW103" s="75"/>
      <c r="AX103" s="75"/>
      <c r="AY103" s="75"/>
      <c r="AZ103" s="75"/>
      <c r="BA103" s="75"/>
      <c r="BB103" s="75"/>
      <c r="BC103" s="74"/>
      <c r="BD103" s="497"/>
      <c r="BE103" s="497"/>
      <c r="BF103" s="1196" t="s">
        <v>596</v>
      </c>
    </row>
    <row s="1642" customFormat="1" customHeight="1" ht="16.5" hidden="1">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37"/>
      <c r="V104" s="1437"/>
      <c r="W104" s="1437"/>
      <c r="X104" s="1437"/>
      <c r="Y104" s="1437"/>
      <c r="Z104" s="1437"/>
      <c r="AA104" s="497"/>
      <c r="AB104" s="154" t="str">
        <f>AB97&amp;".3"</f>
        <v>1.3</v>
      </c>
      <c r="AC104" s="161" t="s">
        <v>597</v>
      </c>
      <c r="AD104" s="166" t="s">
        <v>586</v>
      </c>
      <c r="AE104" s="75"/>
      <c r="AF104" s="75"/>
      <c r="AG104" s="75"/>
      <c r="AH104" s="75"/>
      <c r="AI104" s="1732"/>
      <c r="AJ104" s="1732"/>
      <c r="AK104" s="1732"/>
      <c r="AL104" s="75"/>
      <c r="AM104" s="75"/>
      <c r="AN104" s="75"/>
      <c r="AO104" s="75"/>
      <c r="AP104" s="75"/>
      <c r="AQ104" s="75"/>
      <c r="AR104" s="75"/>
      <c r="AS104" s="1732"/>
      <c r="AT104" s="1732"/>
      <c r="AU104" s="1732"/>
      <c r="AV104" s="75"/>
      <c r="AW104" s="75"/>
      <c r="AX104" s="75"/>
      <c r="AY104" s="75"/>
      <c r="AZ104" s="75"/>
      <c r="BA104" s="75"/>
      <c r="BB104" s="75"/>
      <c r="BC104" s="74"/>
      <c r="BD104" s="497"/>
      <c r="BE104" s="497"/>
      <c r="BF104" s="1196" t="s">
        <v>598</v>
      </c>
    </row>
    <row s="1642" customFormat="1" customHeight="1" ht="16.5" hidden="1">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37"/>
      <c r="V105" s="1437"/>
      <c r="W105" s="1437"/>
      <c r="X105" s="1437"/>
      <c r="Y105" s="1437"/>
      <c r="Z105" s="1437"/>
      <c r="AA105" s="497"/>
      <c r="AB105" s="170" t="s">
        <v>440</v>
      </c>
      <c r="AC105" s="846" t="s">
        <v>599</v>
      </c>
      <c r="AD105" s="166" t="s">
        <v>586</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4"/>
      <c r="BD105" s="497"/>
      <c r="BE105" s="497"/>
      <c r="BF105" s="1196" t="s">
        <v>600</v>
      </c>
    </row>
    <row s="1642" customFormat="1" customHeight="1" ht="16.5" hidden="1">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37"/>
      <c r="V106" s="1437"/>
      <c r="W106" s="1437"/>
      <c r="X106" s="1437"/>
      <c r="Y106" s="1437"/>
      <c r="Z106" s="1437"/>
      <c r="AA106" s="497"/>
      <c r="AB106" s="154" t="str">
        <f>AB105&amp;".1"</f>
        <v>2.1</v>
      </c>
      <c r="AC106" s="161" t="s">
        <v>417</v>
      </c>
      <c r="AD106" s="166" t="s">
        <v>586</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4"/>
      <c r="BD106" s="497"/>
      <c r="BE106" s="497"/>
      <c r="BF106" s="1196" t="s">
        <v>601</v>
      </c>
    </row>
    <row s="1642" customFormat="1" customHeight="1" ht="16.5" hidden="1">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37"/>
      <c r="V107" s="1437"/>
      <c r="W107" s="1437"/>
      <c r="X107" s="1437"/>
      <c r="Y107" s="1437"/>
      <c r="Z107" s="1437"/>
      <c r="AA107" s="497"/>
      <c r="AB107" s="154" t="str">
        <f>AB106&amp;".1"</f>
        <v>2.1.1</v>
      </c>
      <c r="AC107" s="559" t="s">
        <v>589</v>
      </c>
      <c r="AD107" s="166" t="s">
        <v>586</v>
      </c>
      <c r="AE107" s="75"/>
      <c r="AF107" s="75"/>
      <c r="AG107" s="75"/>
      <c r="AH107" s="75"/>
      <c r="AI107" s="1732"/>
      <c r="AJ107" s="1732"/>
      <c r="AK107" s="1732"/>
      <c r="AL107" s="75"/>
      <c r="AM107" s="75"/>
      <c r="AN107" s="75"/>
      <c r="AO107" s="75"/>
      <c r="AP107" s="75"/>
      <c r="AQ107" s="75"/>
      <c r="AR107" s="75"/>
      <c r="AS107" s="1732"/>
      <c r="AT107" s="1732"/>
      <c r="AU107" s="1732"/>
      <c r="AV107" s="75"/>
      <c r="AW107" s="75"/>
      <c r="AX107" s="75"/>
      <c r="AY107" s="75"/>
      <c r="AZ107" s="75"/>
      <c r="BA107" s="75"/>
      <c r="BB107" s="75"/>
      <c r="BC107" s="74"/>
      <c r="BD107" s="497"/>
      <c r="BE107" s="497"/>
      <c r="BF107" s="1196" t="s">
        <v>602</v>
      </c>
    </row>
    <row s="1642" customFormat="1" customHeight="1" ht="16.5" hidden="1">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37"/>
      <c r="V108" s="1437"/>
      <c r="W108" s="1437"/>
      <c r="X108" s="1437"/>
      <c r="Y108" s="1437"/>
      <c r="Z108" s="1437"/>
      <c r="AA108" s="497"/>
      <c r="AB108" s="154" t="str">
        <f>AB106&amp;".2"</f>
        <v>2.1.2</v>
      </c>
      <c r="AC108" s="559" t="s">
        <v>591</v>
      </c>
      <c r="AD108" s="166" t="s">
        <v>586</v>
      </c>
      <c r="AE108" s="75"/>
      <c r="AF108" s="75"/>
      <c r="AG108" s="75"/>
      <c r="AH108" s="75"/>
      <c r="AI108" s="1732"/>
      <c r="AJ108" s="1732"/>
      <c r="AK108" s="1732"/>
      <c r="AL108" s="75"/>
      <c r="AM108" s="75"/>
      <c r="AN108" s="75"/>
      <c r="AO108" s="75"/>
      <c r="AP108" s="75"/>
      <c r="AQ108" s="75"/>
      <c r="AR108" s="75"/>
      <c r="AS108" s="1732"/>
      <c r="AT108" s="1732"/>
      <c r="AU108" s="1732"/>
      <c r="AV108" s="75"/>
      <c r="AW108" s="75"/>
      <c r="AX108" s="75"/>
      <c r="AY108" s="75"/>
      <c r="AZ108" s="75"/>
      <c r="BA108" s="75"/>
      <c r="BB108" s="75"/>
      <c r="BC108" s="74"/>
      <c r="BD108" s="497"/>
      <c r="BE108" s="497"/>
      <c r="BF108" s="1196" t="s">
        <v>603</v>
      </c>
    </row>
    <row s="1642" customFormat="1" customHeight="1" ht="16.5" hidden="1">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37"/>
      <c r="V109" s="1437"/>
      <c r="W109" s="1437"/>
      <c r="X109" s="1437"/>
      <c r="Y109" s="1437"/>
      <c r="Z109" s="1437"/>
      <c r="AA109" s="497"/>
      <c r="AB109" s="154" t="str">
        <f>AB106&amp;".2"</f>
        <v>2.1.2</v>
      </c>
      <c r="AC109" s="161" t="s">
        <v>593</v>
      </c>
      <c r="AD109" s="166" t="s">
        <v>586</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4"/>
      <c r="BD109" s="497"/>
      <c r="BE109" s="497"/>
      <c r="BF109" s="1196" t="s">
        <v>604</v>
      </c>
    </row>
    <row s="1642" customFormat="1" customHeight="1" ht="16.5" hidden="1">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37"/>
      <c r="V110" s="1437"/>
      <c r="W110" s="1437"/>
      <c r="X110" s="1437"/>
      <c r="Y110" s="1437"/>
      <c r="Z110" s="1437"/>
      <c r="AA110" s="497"/>
      <c r="AB110" s="154" t="str">
        <f>AB109&amp;".1"</f>
        <v>2.1.2.1</v>
      </c>
      <c r="AC110" s="559" t="s">
        <v>589</v>
      </c>
      <c r="AD110" s="166" t="s">
        <v>586</v>
      </c>
      <c r="AE110" s="75"/>
      <c r="AF110" s="75"/>
      <c r="AG110" s="75"/>
      <c r="AH110" s="75"/>
      <c r="AI110" s="1732"/>
      <c r="AJ110" s="1732"/>
      <c r="AK110" s="1732"/>
      <c r="AL110" s="75"/>
      <c r="AM110" s="75"/>
      <c r="AN110" s="75"/>
      <c r="AO110" s="75"/>
      <c r="AP110" s="75"/>
      <c r="AQ110" s="75"/>
      <c r="AR110" s="75"/>
      <c r="AS110" s="1732"/>
      <c r="AT110" s="1732"/>
      <c r="AU110" s="1732"/>
      <c r="AV110" s="75"/>
      <c r="AW110" s="75"/>
      <c r="AX110" s="75"/>
      <c r="AY110" s="75"/>
      <c r="AZ110" s="75"/>
      <c r="BA110" s="75"/>
      <c r="BB110" s="75"/>
      <c r="BC110" s="74"/>
      <c r="BD110" s="497"/>
      <c r="BE110" s="497"/>
      <c r="BF110" s="1196" t="s">
        <v>605</v>
      </c>
    </row>
    <row s="1642" customFormat="1" customHeight="1" ht="16.5" hidden="1">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37"/>
      <c r="V111" s="1437"/>
      <c r="W111" s="1437"/>
      <c r="X111" s="1437"/>
      <c r="Y111" s="1437"/>
      <c r="Z111" s="1437"/>
      <c r="AA111" s="497"/>
      <c r="AB111" s="154" t="str">
        <f>AB109&amp;".2"</f>
        <v>2.1.2.2</v>
      </c>
      <c r="AC111" s="559" t="s">
        <v>591</v>
      </c>
      <c r="AD111" s="849" t="s">
        <v>586</v>
      </c>
      <c r="AE111" s="76"/>
      <c r="AF111" s="75"/>
      <c r="AG111" s="76"/>
      <c r="AH111" s="75"/>
      <c r="AI111" s="1733"/>
      <c r="AJ111" s="1732"/>
      <c r="AK111" s="1733"/>
      <c r="AL111" s="75"/>
      <c r="AM111" s="76"/>
      <c r="AN111" s="75"/>
      <c r="AO111" s="76"/>
      <c r="AP111" s="75"/>
      <c r="AQ111" s="76"/>
      <c r="AR111" s="75"/>
      <c r="AS111" s="1733"/>
      <c r="AT111" s="1732"/>
      <c r="AU111" s="1733"/>
      <c r="AV111" s="75"/>
      <c r="AW111" s="76"/>
      <c r="AX111" s="75"/>
      <c r="AY111" s="76"/>
      <c r="AZ111" s="75"/>
      <c r="BA111" s="76"/>
      <c r="BB111" s="75"/>
      <c r="BC111" s="74"/>
      <c r="BD111" s="497"/>
      <c r="BE111" s="497"/>
      <c r="BF111" s="1196" t="s">
        <v>606</v>
      </c>
    </row>
    <row s="1642" customFormat="1" customHeight="1" ht="16.5" hidden="1">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37"/>
      <c r="V112" s="1437"/>
      <c r="W112" s="1437"/>
      <c r="X112" s="1437"/>
      <c r="Y112" s="1437"/>
      <c r="Z112" s="1437"/>
      <c r="AA112" s="497"/>
      <c r="AB112" s="154" t="str">
        <f>AB105&amp;".3"</f>
        <v>2.3</v>
      </c>
      <c r="AC112" s="721" t="s">
        <v>597</v>
      </c>
      <c r="AD112" s="166" t="s">
        <v>586</v>
      </c>
      <c r="AE112" s="75"/>
      <c r="AF112" s="77"/>
      <c r="AG112" s="75"/>
      <c r="AH112" s="77"/>
      <c r="AI112" s="1732"/>
      <c r="AJ112" s="1734"/>
      <c r="AK112" s="1732"/>
      <c r="AL112" s="77"/>
      <c r="AM112" s="75"/>
      <c r="AN112" s="77"/>
      <c r="AO112" s="75"/>
      <c r="AP112" s="77"/>
      <c r="AQ112" s="75"/>
      <c r="AR112" s="77"/>
      <c r="AS112" s="1732"/>
      <c r="AT112" s="1734"/>
      <c r="AU112" s="1732"/>
      <c r="AV112" s="77"/>
      <c r="AW112" s="75"/>
      <c r="AX112" s="77"/>
      <c r="AY112" s="75"/>
      <c r="AZ112" s="77"/>
      <c r="BA112" s="75"/>
      <c r="BB112" s="77"/>
      <c r="BC112" s="74"/>
      <c r="BD112" s="497"/>
      <c r="BE112" s="497"/>
      <c r="BF112" s="1196" t="s">
        <v>607</v>
      </c>
    </row>
    <row s="1642" customFormat="1" customHeight="1" ht="29.25" hidden="1">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37"/>
      <c r="V113" s="1437"/>
      <c r="W113" s="1437"/>
      <c r="X113" s="1437"/>
      <c r="Y113" s="1437"/>
      <c r="Z113" s="1437"/>
      <c r="AA113" s="497"/>
      <c r="AB113" s="322" t="s">
        <v>608</v>
      </c>
      <c r="AC113" s="160" t="s">
        <v>609</v>
      </c>
      <c r="AD113" s="166" t="s">
        <v>586</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4"/>
      <c r="BD113" s="497"/>
      <c r="BE113" s="497"/>
      <c r="BF113" s="1196" t="s">
        <v>610</v>
      </c>
    </row>
    <row s="1642" customFormat="1" customHeight="1" ht="16.5" hidden="1">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37"/>
      <c r="V114" s="1437"/>
      <c r="W114" s="1437"/>
      <c r="X114" s="1437"/>
      <c r="Y114" s="1437"/>
      <c r="Z114" s="1437"/>
      <c r="AA114" s="497"/>
      <c r="AB114" s="845" t="str">
        <f>AB113&amp;".1"</f>
        <v>3.1</v>
      </c>
      <c r="AC114" s="721" t="s">
        <v>417</v>
      </c>
      <c r="AD114" s="166" t="s">
        <v>586</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4"/>
      <c r="BD114" s="497"/>
      <c r="BE114" s="497"/>
      <c r="BF114" s="1196" t="s">
        <v>611</v>
      </c>
    </row>
    <row s="1642" customFormat="1" customHeight="1" ht="16.5" hidden="1">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37"/>
      <c r="V115" s="1437"/>
      <c r="W115" s="1437"/>
      <c r="X115" s="1437"/>
      <c r="Y115" s="1437"/>
      <c r="Z115" s="1437"/>
      <c r="AA115" s="497"/>
      <c r="AB115" s="845" t="str">
        <f>AB114&amp;".1"</f>
        <v>3.1.1</v>
      </c>
      <c r="AC115" s="719" t="s">
        <v>589</v>
      </c>
      <c r="AD115" s="166" t="s">
        <v>586</v>
      </c>
      <c r="AE115" s="75">
        <f>AE99-AE107</f>
        <v>0</v>
      </c>
      <c r="AF115" s="75">
        <f>AF99-AF107</f>
        <v>0</v>
      </c>
      <c r="AG115" s="75">
        <f>AG99-AG107</f>
        <v>0</v>
      </c>
      <c r="AH115" s="75">
        <f>AH99-AH107</f>
        <v>0</v>
      </c>
      <c r="AI115" s="1732">
        <f>AI99-AI107</f>
        <v>0</v>
      </c>
      <c r="AJ115" s="1732">
        <f>AJ99-AJ107</f>
        <v>0</v>
      </c>
      <c r="AK115" s="1732">
        <f>AK99-AK107</f>
        <v>0</v>
      </c>
      <c r="AL115" s="75">
        <f>AL99-AL107</f>
        <v>0</v>
      </c>
      <c r="AM115" s="75">
        <f>AM99-AM107</f>
        <v>0</v>
      </c>
      <c r="AN115" s="75">
        <f>AN99-AN107</f>
        <v>0</v>
      </c>
      <c r="AO115" s="75">
        <f>AO99-AO107</f>
        <v>0</v>
      </c>
      <c r="AP115" s="75">
        <f>AP99-AP107</f>
        <v>0</v>
      </c>
      <c r="AQ115" s="75">
        <f>AQ99-AQ107</f>
        <v>0</v>
      </c>
      <c r="AR115" s="75">
        <f>AR99-AR107</f>
        <v>0</v>
      </c>
      <c r="AS115" s="1732">
        <f>AS99-AS107</f>
        <v>0</v>
      </c>
      <c r="AT115" s="1732">
        <f>AT99-AT107</f>
        <v>0</v>
      </c>
      <c r="AU115" s="1732">
        <f>AU99-AU107</f>
        <v>0</v>
      </c>
      <c r="AV115" s="75">
        <f>AV99-AV107</f>
        <v>0</v>
      </c>
      <c r="AW115" s="75">
        <f>AW99-AW107</f>
        <v>0</v>
      </c>
      <c r="AX115" s="75">
        <f>AX99-AX107</f>
        <v>0</v>
      </c>
      <c r="AY115" s="75">
        <f>AY99-AY107</f>
        <v>0</v>
      </c>
      <c r="AZ115" s="75">
        <f>AZ99-AZ107</f>
        <v>0</v>
      </c>
      <c r="BA115" s="75">
        <f>BA99-BA107</f>
        <v>0</v>
      </c>
      <c r="BB115" s="75">
        <f>BB99-BB107</f>
        <v>0</v>
      </c>
      <c r="BC115" s="74"/>
      <c r="BD115" s="497"/>
      <c r="BE115" s="497"/>
      <c r="BF115" s="1196" t="s">
        <v>612</v>
      </c>
    </row>
    <row s="1642" customFormat="1" customHeight="1" ht="16.5" hidden="1">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37"/>
      <c r="V116" s="1437"/>
      <c r="W116" s="1437"/>
      <c r="X116" s="1437"/>
      <c r="Y116" s="1437"/>
      <c r="Z116" s="1437"/>
      <c r="AA116" s="497"/>
      <c r="AB116" s="845" t="str">
        <f>AB114&amp;".2"</f>
        <v>3.1.2</v>
      </c>
      <c r="AC116" s="719" t="s">
        <v>591</v>
      </c>
      <c r="AD116" s="166" t="s">
        <v>586</v>
      </c>
      <c r="AE116" s="75">
        <f>AE100-AE108</f>
        <v>0</v>
      </c>
      <c r="AF116" s="75">
        <f>AF100-AF108</f>
        <v>0</v>
      </c>
      <c r="AG116" s="75">
        <f>AG100-AG108</f>
        <v>0</v>
      </c>
      <c r="AH116" s="75">
        <f>AH100-AH108</f>
        <v>0</v>
      </c>
      <c r="AI116" s="1732">
        <f>AI100-AI108</f>
        <v>0</v>
      </c>
      <c r="AJ116" s="1732">
        <f>AJ100-AJ108</f>
        <v>0</v>
      </c>
      <c r="AK116" s="1732">
        <f>AK100-AK108</f>
        <v>0</v>
      </c>
      <c r="AL116" s="75">
        <f>AL100-AL108</f>
        <v>0</v>
      </c>
      <c r="AM116" s="75">
        <f>AM100-AM108</f>
        <v>0</v>
      </c>
      <c r="AN116" s="75">
        <f>AN100-AN108</f>
        <v>0</v>
      </c>
      <c r="AO116" s="75">
        <f>AO100-AO108</f>
        <v>0</v>
      </c>
      <c r="AP116" s="75">
        <f>AP100-AP108</f>
        <v>0</v>
      </c>
      <c r="AQ116" s="75">
        <f>AQ100-AQ108</f>
        <v>0</v>
      </c>
      <c r="AR116" s="75">
        <f>AR100-AR108</f>
        <v>0</v>
      </c>
      <c r="AS116" s="1732">
        <f>AS100-AS108</f>
        <v>0</v>
      </c>
      <c r="AT116" s="1732">
        <f>AT100-AT108</f>
        <v>0</v>
      </c>
      <c r="AU116" s="1732">
        <f>AU100-AU108</f>
        <v>0</v>
      </c>
      <c r="AV116" s="75">
        <f>AV100-AV108</f>
        <v>0</v>
      </c>
      <c r="AW116" s="75">
        <f>AW100-AW108</f>
        <v>0</v>
      </c>
      <c r="AX116" s="75">
        <f>AX100-AX108</f>
        <v>0</v>
      </c>
      <c r="AY116" s="75">
        <f>AY100-AY108</f>
        <v>0</v>
      </c>
      <c r="AZ116" s="75">
        <f>AZ100-AZ108</f>
        <v>0</v>
      </c>
      <c r="BA116" s="75">
        <f>BA100-BA108</f>
        <v>0</v>
      </c>
      <c r="BB116" s="75">
        <f>BB100-BB108</f>
        <v>0</v>
      </c>
      <c r="BC116" s="74"/>
      <c r="BD116" s="497"/>
      <c r="BE116" s="497"/>
      <c r="BF116" s="1196" t="s">
        <v>613</v>
      </c>
    </row>
    <row s="1642" customFormat="1" customHeight="1" ht="16.5" hidden="1">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37"/>
      <c r="V117" s="1437"/>
      <c r="W117" s="1437"/>
      <c r="X117" s="1437"/>
      <c r="Y117" s="1437"/>
      <c r="Z117" s="1437"/>
      <c r="AA117" s="497"/>
      <c r="AB117" s="845" t="str">
        <f>AB113&amp;".2"</f>
        <v>3.2</v>
      </c>
      <c r="AC117" s="721" t="s">
        <v>593</v>
      </c>
      <c r="AD117" s="166" t="s">
        <v>586</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4"/>
      <c r="BD117" s="497"/>
      <c r="BE117" s="497"/>
      <c r="BF117" s="1196" t="s">
        <v>614</v>
      </c>
    </row>
    <row s="1642" customFormat="1" customHeight="1" ht="16.5" hidden="1">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37"/>
      <c r="V118" s="1437"/>
      <c r="W118" s="1437"/>
      <c r="X118" s="1437"/>
      <c r="Y118" s="1437"/>
      <c r="Z118" s="1437"/>
      <c r="AA118" s="497"/>
      <c r="AB118" s="845" t="str">
        <f>AB117&amp;".1"</f>
        <v>3.2.1</v>
      </c>
      <c r="AC118" s="719" t="s">
        <v>589</v>
      </c>
      <c r="AD118" s="166" t="s">
        <v>586</v>
      </c>
      <c r="AE118" s="75">
        <f>AE102-AE110</f>
        <v>0</v>
      </c>
      <c r="AF118" s="75">
        <f>AF102-AF110</f>
        <v>0</v>
      </c>
      <c r="AG118" s="75">
        <f>AG102-AG110</f>
        <v>0</v>
      </c>
      <c r="AH118" s="75">
        <f>AH102-AH110</f>
        <v>0</v>
      </c>
      <c r="AI118" s="1732">
        <f>AI102-AI110</f>
        <v>0</v>
      </c>
      <c r="AJ118" s="1732">
        <f>AJ102-AJ110</f>
        <v>0</v>
      </c>
      <c r="AK118" s="1732">
        <f>AK102-AK110</f>
        <v>0</v>
      </c>
      <c r="AL118" s="75">
        <f>AL102-AL110</f>
        <v>0</v>
      </c>
      <c r="AM118" s="75">
        <f>AM102-AM110</f>
        <v>0</v>
      </c>
      <c r="AN118" s="75">
        <f>AN102-AN110</f>
        <v>0</v>
      </c>
      <c r="AO118" s="75">
        <f>AO102-AO110</f>
        <v>0</v>
      </c>
      <c r="AP118" s="75">
        <f>AP102-AP110</f>
        <v>0</v>
      </c>
      <c r="AQ118" s="75">
        <f>AQ102-AQ110</f>
        <v>0</v>
      </c>
      <c r="AR118" s="75">
        <f>AR102-AR110</f>
        <v>0</v>
      </c>
      <c r="AS118" s="1732">
        <f>AS102-AS110</f>
        <v>0</v>
      </c>
      <c r="AT118" s="1732">
        <f>AT102-AT110</f>
        <v>0</v>
      </c>
      <c r="AU118" s="1732">
        <f>AU102-AU110</f>
        <v>0</v>
      </c>
      <c r="AV118" s="75">
        <f>AV102-AV110</f>
        <v>0</v>
      </c>
      <c r="AW118" s="75">
        <f>AW102-AW110</f>
        <v>0</v>
      </c>
      <c r="AX118" s="75">
        <f>AX102-AX110</f>
        <v>0</v>
      </c>
      <c r="AY118" s="75">
        <f>AY102-AY110</f>
        <v>0</v>
      </c>
      <c r="AZ118" s="75">
        <f>AZ102-AZ110</f>
        <v>0</v>
      </c>
      <c r="BA118" s="75">
        <f>BA102-BA110</f>
        <v>0</v>
      </c>
      <c r="BB118" s="75">
        <f>BB102-BB110</f>
        <v>0</v>
      </c>
      <c r="BC118" s="74"/>
      <c r="BD118" s="497"/>
      <c r="BE118" s="497"/>
      <c r="BF118" s="1196" t="s">
        <v>615</v>
      </c>
    </row>
    <row s="1642" customFormat="1" customHeight="1" ht="16.5" hidden="1">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37"/>
      <c r="V119" s="1437"/>
      <c r="W119" s="1437"/>
      <c r="X119" s="1437"/>
      <c r="Y119" s="1437"/>
      <c r="Z119" s="1437"/>
      <c r="AA119" s="497"/>
      <c r="AB119" s="845" t="str">
        <f>AB117&amp;".2"</f>
        <v>3.2.2</v>
      </c>
      <c r="AC119" s="559" t="s">
        <v>591</v>
      </c>
      <c r="AD119" s="851" t="s">
        <v>586</v>
      </c>
      <c r="AE119" s="75">
        <f>AE103-AE111</f>
        <v>0</v>
      </c>
      <c r="AF119" s="75">
        <f>AF103-AF111</f>
        <v>0</v>
      </c>
      <c r="AG119" s="75">
        <f>AG103-AG111</f>
        <v>0</v>
      </c>
      <c r="AH119" s="75">
        <f>AH103-AH111</f>
        <v>0</v>
      </c>
      <c r="AI119" s="1732">
        <f>AI103-AI111</f>
        <v>0</v>
      </c>
      <c r="AJ119" s="1732">
        <f>AJ103-AJ111</f>
        <v>0</v>
      </c>
      <c r="AK119" s="1732">
        <f>AK103-AK111</f>
        <v>0</v>
      </c>
      <c r="AL119" s="75">
        <f>AL103-AL111</f>
        <v>0</v>
      </c>
      <c r="AM119" s="75">
        <f>AM103-AM111</f>
        <v>0</v>
      </c>
      <c r="AN119" s="75">
        <f>AN103-AN111</f>
        <v>0</v>
      </c>
      <c r="AO119" s="75">
        <f>AO103-AO111</f>
        <v>0</v>
      </c>
      <c r="AP119" s="75">
        <f>AP103-AP111</f>
        <v>0</v>
      </c>
      <c r="AQ119" s="75">
        <f>AQ103-AQ111</f>
        <v>0</v>
      </c>
      <c r="AR119" s="75">
        <f>AR103-AR111</f>
        <v>0</v>
      </c>
      <c r="AS119" s="1732">
        <f>AS103-AS111</f>
        <v>0</v>
      </c>
      <c r="AT119" s="1732">
        <f>AT103-AT111</f>
        <v>0</v>
      </c>
      <c r="AU119" s="1732">
        <f>AU103-AU111</f>
        <v>0</v>
      </c>
      <c r="AV119" s="75">
        <f>AV103-AV111</f>
        <v>0</v>
      </c>
      <c r="AW119" s="75">
        <f>AW103-AW111</f>
        <v>0</v>
      </c>
      <c r="AX119" s="75">
        <f>AX103-AX111</f>
        <v>0</v>
      </c>
      <c r="AY119" s="75">
        <f>AY103-AY111</f>
        <v>0</v>
      </c>
      <c r="AZ119" s="75">
        <f>AZ103-AZ111</f>
        <v>0</v>
      </c>
      <c r="BA119" s="75">
        <f>BA103-BA111</f>
        <v>0</v>
      </c>
      <c r="BB119" s="75">
        <f>BB103-BB111</f>
        <v>0</v>
      </c>
      <c r="BC119" s="74"/>
      <c r="BD119" s="497"/>
      <c r="BE119" s="497"/>
      <c r="BF119" s="1196" t="s">
        <v>616</v>
      </c>
    </row>
    <row s="1642" customFormat="1" customHeight="1" ht="16.5" hidden="1">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37"/>
      <c r="V120" s="1437"/>
      <c r="W120" s="1437"/>
      <c r="X120" s="1437"/>
      <c r="Y120" s="1437"/>
      <c r="Z120" s="1437"/>
      <c r="AA120" s="497"/>
      <c r="AB120" s="845" t="str">
        <f>AB113&amp;".3"</f>
        <v>3.3</v>
      </c>
      <c r="AC120" s="556" t="s">
        <v>597</v>
      </c>
      <c r="AD120" s="167" t="s">
        <v>586</v>
      </c>
      <c r="AE120" s="75"/>
      <c r="AF120" s="75"/>
      <c r="AG120" s="75"/>
      <c r="AH120" s="75"/>
      <c r="AI120" s="1732"/>
      <c r="AJ120" s="1732"/>
      <c r="AK120" s="1732"/>
      <c r="AL120" s="75"/>
      <c r="AM120" s="75"/>
      <c r="AN120" s="75"/>
      <c r="AO120" s="75"/>
      <c r="AP120" s="75"/>
      <c r="AQ120" s="75"/>
      <c r="AR120" s="75"/>
      <c r="AS120" s="1732"/>
      <c r="AT120" s="1732"/>
      <c r="AU120" s="1732"/>
      <c r="AV120" s="75"/>
      <c r="AW120" s="75"/>
      <c r="AX120" s="75"/>
      <c r="AY120" s="75"/>
      <c r="AZ120" s="75"/>
      <c r="BA120" s="75"/>
      <c r="BB120" s="75"/>
      <c r="BC120" s="74"/>
      <c r="BD120" s="497"/>
      <c r="BE120" s="497"/>
      <c r="BF120" s="1196" t="s">
        <v>617</v>
      </c>
    </row>
    <row s="1642" customFormat="1" customHeight="1" ht="16.5" hidden="1">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37"/>
      <c r="V121" s="1437"/>
      <c r="W121" s="1437"/>
      <c r="X121" s="1437"/>
      <c r="Y121" s="1437"/>
      <c r="Z121" s="1437"/>
      <c r="AA121" s="497"/>
      <c r="AB121" s="565" t="s">
        <v>618</v>
      </c>
      <c r="AC121" s="566" t="s">
        <v>619</v>
      </c>
      <c r="AD121" s="167" t="s">
        <v>586</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4"/>
      <c r="BD121" s="497"/>
      <c r="BE121" s="497"/>
      <c r="BF121" s="1196" t="s">
        <v>620</v>
      </c>
    </row>
    <row s="1642" customFormat="1" customHeight="1" ht="16.5" hidden="1">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37"/>
      <c r="V122" s="1437"/>
      <c r="W122" s="1437"/>
      <c r="X122" s="1437"/>
      <c r="Y122" s="1437"/>
      <c r="Z122" s="1437"/>
      <c r="AA122" s="497"/>
      <c r="AB122" s="845" t="str">
        <f>AB121&amp;".1"</f>
        <v>4.1</v>
      </c>
      <c r="AC122" s="556" t="s">
        <v>589</v>
      </c>
      <c r="AD122" s="167" t="s">
        <v>586</v>
      </c>
      <c r="AE122" s="78"/>
      <c r="AF122" s="78"/>
      <c r="AG122" s="78"/>
      <c r="AH122" s="78"/>
      <c r="AI122" s="1737"/>
      <c r="AJ122" s="1737"/>
      <c r="AK122" s="1737"/>
      <c r="AL122" s="78"/>
      <c r="AM122" s="78"/>
      <c r="AN122" s="78"/>
      <c r="AO122" s="78"/>
      <c r="AP122" s="78"/>
      <c r="AQ122" s="78"/>
      <c r="AR122" s="78"/>
      <c r="AS122" s="1737"/>
      <c r="AT122" s="1737"/>
      <c r="AU122" s="1737"/>
      <c r="AV122" s="78"/>
      <c r="AW122" s="78"/>
      <c r="AX122" s="78"/>
      <c r="AY122" s="78"/>
      <c r="AZ122" s="78"/>
      <c r="BA122" s="78"/>
      <c r="BB122" s="78"/>
      <c r="BC122" s="74"/>
      <c r="BD122" s="497"/>
      <c r="BE122" s="497"/>
      <c r="BF122" s="1196" t="s">
        <v>621</v>
      </c>
    </row>
    <row s="1642" customFormat="1" customHeight="1" ht="16.5" hidden="1">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37"/>
      <c r="V123" s="1437"/>
      <c r="W123" s="1437"/>
      <c r="X123" s="1437"/>
      <c r="Y123" s="1437"/>
      <c r="Z123" s="1437"/>
      <c r="AA123" s="497"/>
      <c r="AB123" s="845" t="str">
        <f>AB121&amp;".2"</f>
        <v>4.2</v>
      </c>
      <c r="AC123" s="556" t="s">
        <v>591</v>
      </c>
      <c r="AD123" s="167" t="s">
        <v>586</v>
      </c>
      <c r="AE123" s="79"/>
      <c r="AF123" s="79"/>
      <c r="AG123" s="79"/>
      <c r="AH123" s="79"/>
      <c r="AI123" s="1738"/>
      <c r="AJ123" s="1738"/>
      <c r="AK123" s="1738"/>
      <c r="AL123" s="79"/>
      <c r="AM123" s="79"/>
      <c r="AN123" s="79"/>
      <c r="AO123" s="79"/>
      <c r="AP123" s="79"/>
      <c r="AQ123" s="79"/>
      <c r="AR123" s="79"/>
      <c r="AS123" s="1738"/>
      <c r="AT123" s="1738"/>
      <c r="AU123" s="1738"/>
      <c r="AV123" s="79"/>
      <c r="AW123" s="79"/>
      <c r="AX123" s="79"/>
      <c r="AY123" s="79"/>
      <c r="AZ123" s="79"/>
      <c r="BA123" s="79"/>
      <c r="BB123" s="79"/>
      <c r="BC123" s="69"/>
      <c r="BD123" s="497"/>
      <c r="BE123" s="497"/>
      <c r="BF123" s="1196" t="s">
        <v>622</v>
      </c>
    </row>
    <row s="1642" customFormat="1" customHeight="1" ht="16.5" hidden="1">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37"/>
      <c r="V124" s="1437"/>
      <c r="W124" s="1437"/>
      <c r="X124" s="1437"/>
      <c r="Y124" s="1437"/>
      <c r="Z124" s="1437"/>
      <c r="AA124" s="497"/>
      <c r="AB124" s="854" t="s">
        <v>623</v>
      </c>
      <c r="AC124" s="524" t="s">
        <v>624</v>
      </c>
      <c r="AD124" s="410" t="s">
        <v>586</v>
      </c>
      <c r="AE124" s="75"/>
      <c r="AF124" s="75"/>
      <c r="AG124" s="75"/>
      <c r="AH124" s="75"/>
      <c r="AI124" s="1732"/>
      <c r="AJ124" s="1732"/>
      <c r="AK124" s="1732"/>
      <c r="AL124" s="75"/>
      <c r="AM124" s="75"/>
      <c r="AN124" s="75"/>
      <c r="AO124" s="75"/>
      <c r="AP124" s="75"/>
      <c r="AQ124" s="75"/>
      <c r="AR124" s="75"/>
      <c r="AS124" s="1732"/>
      <c r="AT124" s="1732"/>
      <c r="AU124" s="1732"/>
      <c r="AV124" s="75"/>
      <c r="AW124" s="75"/>
      <c r="AX124" s="75"/>
      <c r="AY124" s="75"/>
      <c r="AZ124" s="75"/>
      <c r="BA124" s="75"/>
      <c r="BB124" s="75"/>
      <c r="BC124" s="80"/>
      <c r="BD124" s="497"/>
      <c r="BE124" s="497"/>
      <c r="BF124" s="1196" t="s">
        <v>625</v>
      </c>
    </row>
    <row s="1642" customFormat="1" customHeight="1" ht="16.5" hidden="1">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37"/>
      <c r="V125" s="1437"/>
      <c r="W125" s="1437"/>
      <c r="X125" s="1437"/>
      <c r="Y125" s="1437"/>
      <c r="Z125" s="1437"/>
      <c r="AA125" s="497"/>
      <c r="AB125" s="855" t="s">
        <v>626</v>
      </c>
      <c r="AC125" s="478" t="s">
        <v>627</v>
      </c>
      <c r="AD125" s="410" t="s">
        <v>586</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80"/>
      <c r="BD125" s="497"/>
      <c r="BE125" s="497"/>
      <c r="BF125" s="1196" t="s">
        <v>628</v>
      </c>
    </row>
    <row s="1642" customFormat="1" customHeight="1" ht="16.5" hidden="1">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37"/>
      <c r="V126" s="1437"/>
      <c r="W126" s="1437"/>
      <c r="X126" s="1437"/>
      <c r="Y126" s="1437"/>
      <c r="Z126" s="1437"/>
      <c r="AA126" s="497"/>
      <c r="AB126" s="845" t="str">
        <f>AB125&amp;".1"</f>
        <v>6.1</v>
      </c>
      <c r="AC126" s="556" t="s">
        <v>589</v>
      </c>
      <c r="AD126" s="410" t="s">
        <v>586</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80"/>
      <c r="BD126" s="497"/>
      <c r="BE126" s="497"/>
      <c r="BF126" s="1196" t="s">
        <v>629</v>
      </c>
    </row>
    <row s="1642" customFormat="1" customHeight="1" ht="16.5" hidden="1">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37"/>
      <c r="V127" s="1437"/>
      <c r="W127" s="1437"/>
      <c r="X127" s="1437"/>
      <c r="Y127" s="1437"/>
      <c r="Z127" s="1437"/>
      <c r="AA127" s="497"/>
      <c r="AB127" s="845" t="str">
        <f>AB126&amp;".1"</f>
        <v>6.1.1</v>
      </c>
      <c r="AC127" s="681" t="s">
        <v>630</v>
      </c>
      <c r="AD127" s="167" t="s">
        <v>586</v>
      </c>
      <c r="AE127" s="75"/>
      <c r="AF127" s="75"/>
      <c r="AG127" s="75"/>
      <c r="AH127" s="75"/>
      <c r="AI127" s="1732"/>
      <c r="AJ127" s="1732"/>
      <c r="AK127" s="1732"/>
      <c r="AL127" s="75"/>
      <c r="AM127" s="75"/>
      <c r="AN127" s="75"/>
      <c r="AO127" s="75"/>
      <c r="AP127" s="75"/>
      <c r="AQ127" s="75"/>
      <c r="AR127" s="75"/>
      <c r="AS127" s="1732"/>
      <c r="AT127" s="1732"/>
      <c r="AU127" s="1732"/>
      <c r="AV127" s="75"/>
      <c r="AW127" s="75"/>
      <c r="AX127" s="75"/>
      <c r="AY127" s="75"/>
      <c r="AZ127" s="75"/>
      <c r="BA127" s="75"/>
      <c r="BB127" s="75"/>
      <c r="BC127" s="80"/>
      <c r="BD127" s="497"/>
      <c r="BE127" s="497"/>
      <c r="BF127" s="1196" t="s">
        <v>631</v>
      </c>
    </row>
    <row s="1642" customFormat="1" customHeight="1" ht="16.5" hidden="1">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37"/>
      <c r="V128" s="1437"/>
      <c r="W128" s="1437"/>
      <c r="X128" s="1437"/>
      <c r="Y128" s="1437"/>
      <c r="Z128" s="1437"/>
      <c r="AA128" s="497"/>
      <c r="AB128" s="845" t="str">
        <f>AB126&amp;".2"</f>
        <v>6.1.2</v>
      </c>
      <c r="AC128" s="682" t="s">
        <v>632</v>
      </c>
      <c r="AD128" s="167" t="s">
        <v>586</v>
      </c>
      <c r="AE128" s="75">
        <f>SUM(AE129:AE132)</f>
        <v>0</v>
      </c>
      <c r="AF128" s="75">
        <f>SUM(AF129:AF132)</f>
        <v>0</v>
      </c>
      <c r="AG128" s="75">
        <f>SUM(AG129:AG132)</f>
        <v>0</v>
      </c>
      <c r="AH128" s="75">
        <f>SUM(AH129:AH132)</f>
        <v>0</v>
      </c>
      <c r="AI128" s="1732">
        <f>SUM(AI129:AI132)</f>
        <v>0</v>
      </c>
      <c r="AJ128" s="1732">
        <f>SUM(AJ129:AJ132)</f>
        <v>0</v>
      </c>
      <c r="AK128" s="1732">
        <f>SUM(AK129:AK132)</f>
        <v>0</v>
      </c>
      <c r="AL128" s="75">
        <f>SUM(AL129:AL132)</f>
        <v>0</v>
      </c>
      <c r="AM128" s="75">
        <f>SUM(AM129:AM132)</f>
        <v>0</v>
      </c>
      <c r="AN128" s="75">
        <f>SUM(AN129:AN132)</f>
        <v>0</v>
      </c>
      <c r="AO128" s="75">
        <f>SUM(AO129:AO132)</f>
        <v>0</v>
      </c>
      <c r="AP128" s="75">
        <f>SUM(AP129:AP132)</f>
        <v>0</v>
      </c>
      <c r="AQ128" s="75">
        <f>SUM(AQ129:AQ132)</f>
        <v>0</v>
      </c>
      <c r="AR128" s="75">
        <f>SUM(AR129:AR132)</f>
        <v>0</v>
      </c>
      <c r="AS128" s="1732">
        <f>SUM(AS129:AS132)</f>
        <v>0</v>
      </c>
      <c r="AT128" s="1732">
        <f>SUM(AT129:AT132)</f>
        <v>0</v>
      </c>
      <c r="AU128" s="1732">
        <f>SUM(AU129:AU132)</f>
        <v>0</v>
      </c>
      <c r="AV128" s="75">
        <f>SUM(AV129:AV132)</f>
        <v>0</v>
      </c>
      <c r="AW128" s="75">
        <f>SUM(AW129:AW132)</f>
        <v>0</v>
      </c>
      <c r="AX128" s="75">
        <f>SUM(AX129:AX132)</f>
        <v>0</v>
      </c>
      <c r="AY128" s="75">
        <f>SUM(AY129:AY132)</f>
        <v>0</v>
      </c>
      <c r="AZ128" s="75">
        <f>SUM(AZ129:AZ132)</f>
        <v>0</v>
      </c>
      <c r="BA128" s="75">
        <f>SUM(BA129:BA132)</f>
        <v>0</v>
      </c>
      <c r="BB128" s="75">
        <f>SUM(BB129:BB132)</f>
        <v>0</v>
      </c>
      <c r="BC128" s="80"/>
      <c r="BD128" s="497"/>
      <c r="BE128" s="497"/>
      <c r="BF128" s="1196" t="s">
        <v>633</v>
      </c>
    </row>
    <row s="1642" customFormat="1" customHeight="1" ht="16.5" hidden="1">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37"/>
      <c r="V129" s="1437"/>
      <c r="W129" s="1437"/>
      <c r="X129" s="1437"/>
      <c r="Y129" s="1437"/>
      <c r="Z129" s="1437"/>
      <c r="AA129" s="497"/>
      <c r="AB129" s="845" t="str">
        <f>AB128&amp;".1"</f>
        <v>6.1.2.1</v>
      </c>
      <c r="AC129" s="683" t="s">
        <v>634</v>
      </c>
      <c r="AD129" s="410" t="s">
        <v>586</v>
      </c>
      <c r="AE129" s="75"/>
      <c r="AF129" s="75"/>
      <c r="AG129" s="75"/>
      <c r="AH129" s="75"/>
      <c r="AI129" s="1732"/>
      <c r="AJ129" s="1732"/>
      <c r="AK129" s="1732"/>
      <c r="AL129" s="75"/>
      <c r="AM129" s="75"/>
      <c r="AN129" s="75"/>
      <c r="AO129" s="75"/>
      <c r="AP129" s="75"/>
      <c r="AQ129" s="75"/>
      <c r="AR129" s="75"/>
      <c r="AS129" s="1732"/>
      <c r="AT129" s="1732"/>
      <c r="AU129" s="1732"/>
      <c r="AV129" s="75"/>
      <c r="AW129" s="75"/>
      <c r="AX129" s="75"/>
      <c r="AY129" s="75"/>
      <c r="AZ129" s="75"/>
      <c r="BA129" s="75"/>
      <c r="BB129" s="75"/>
      <c r="BC129" s="80"/>
      <c r="BD129" s="497"/>
      <c r="BE129" s="497"/>
      <c r="BF129" s="1196" t="s">
        <v>635</v>
      </c>
    </row>
    <row s="1642" customFormat="1" customHeight="1" ht="16.5" hidden="1">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37"/>
      <c r="V130" s="1437"/>
      <c r="W130" s="1437"/>
      <c r="X130" s="1437"/>
      <c r="Y130" s="1437"/>
      <c r="Z130" s="1437"/>
      <c r="AA130" s="497"/>
      <c r="AB130" s="845" t="str">
        <f>AB128&amp;".2"</f>
        <v>6.1.2.2</v>
      </c>
      <c r="AC130" s="684" t="s">
        <v>636</v>
      </c>
      <c r="AD130" s="167" t="s">
        <v>586</v>
      </c>
      <c r="AE130" s="75"/>
      <c r="AF130" s="75"/>
      <c r="AG130" s="75"/>
      <c r="AH130" s="75"/>
      <c r="AI130" s="1732"/>
      <c r="AJ130" s="1732"/>
      <c r="AK130" s="1732"/>
      <c r="AL130" s="75"/>
      <c r="AM130" s="75"/>
      <c r="AN130" s="75"/>
      <c r="AO130" s="75"/>
      <c r="AP130" s="75"/>
      <c r="AQ130" s="75"/>
      <c r="AR130" s="75"/>
      <c r="AS130" s="1732"/>
      <c r="AT130" s="1732"/>
      <c r="AU130" s="1732"/>
      <c r="AV130" s="75"/>
      <c r="AW130" s="75"/>
      <c r="AX130" s="75"/>
      <c r="AY130" s="75"/>
      <c r="AZ130" s="75"/>
      <c r="BA130" s="75"/>
      <c r="BB130" s="75"/>
      <c r="BC130" s="80"/>
      <c r="BD130" s="497"/>
      <c r="BE130" s="497"/>
      <c r="BF130" s="1196" t="s">
        <v>637</v>
      </c>
    </row>
    <row s="1642" customFormat="1" customHeight="1" ht="16.5" hidden="1">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37"/>
      <c r="V131" s="1437"/>
      <c r="W131" s="1437"/>
      <c r="X131" s="1437"/>
      <c r="Y131" s="1437"/>
      <c r="Z131" s="1437"/>
      <c r="AA131" s="497"/>
      <c r="AB131" s="845" t="str">
        <f>AB128&amp;".3"</f>
        <v>6.1.2.3</v>
      </c>
      <c r="AC131" s="684" t="s">
        <v>638</v>
      </c>
      <c r="AD131" s="167" t="s">
        <v>586</v>
      </c>
      <c r="AE131" s="75"/>
      <c r="AF131" s="75"/>
      <c r="AG131" s="75"/>
      <c r="AH131" s="75"/>
      <c r="AI131" s="1732"/>
      <c r="AJ131" s="1732"/>
      <c r="AK131" s="1732"/>
      <c r="AL131" s="75"/>
      <c r="AM131" s="75"/>
      <c r="AN131" s="75"/>
      <c r="AO131" s="75"/>
      <c r="AP131" s="75"/>
      <c r="AQ131" s="75"/>
      <c r="AR131" s="75"/>
      <c r="AS131" s="1732"/>
      <c r="AT131" s="1732"/>
      <c r="AU131" s="1732"/>
      <c r="AV131" s="75"/>
      <c r="AW131" s="75"/>
      <c r="AX131" s="75"/>
      <c r="AY131" s="75"/>
      <c r="AZ131" s="75"/>
      <c r="BA131" s="75"/>
      <c r="BB131" s="75"/>
      <c r="BC131" s="80"/>
      <c r="BD131" s="497"/>
      <c r="BE131" s="497"/>
      <c r="BF131" s="1196" t="s">
        <v>639</v>
      </c>
    </row>
    <row s="1642" customFormat="1" customHeight="1" ht="16.5" hidden="1">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37"/>
      <c r="V132" s="1437"/>
      <c r="W132" s="1437"/>
      <c r="X132" s="1437"/>
      <c r="Y132" s="1437"/>
      <c r="Z132" s="1437"/>
      <c r="AA132" s="497"/>
      <c r="AB132" s="845" t="str">
        <f>AB128&amp;".4"</f>
        <v>6.1.2.4</v>
      </c>
      <c r="AC132" s="684" t="s">
        <v>640</v>
      </c>
      <c r="AD132" s="410" t="s">
        <v>586</v>
      </c>
      <c r="AE132" s="75"/>
      <c r="AF132" s="75"/>
      <c r="AG132" s="75"/>
      <c r="AH132" s="75"/>
      <c r="AI132" s="1732"/>
      <c r="AJ132" s="1732"/>
      <c r="AK132" s="1732"/>
      <c r="AL132" s="75"/>
      <c r="AM132" s="75"/>
      <c r="AN132" s="75"/>
      <c r="AO132" s="75"/>
      <c r="AP132" s="75"/>
      <c r="AQ132" s="75"/>
      <c r="AR132" s="75"/>
      <c r="AS132" s="1732"/>
      <c r="AT132" s="1732"/>
      <c r="AU132" s="1732"/>
      <c r="AV132" s="75"/>
      <c r="AW132" s="75"/>
      <c r="AX132" s="75"/>
      <c r="AY132" s="75"/>
      <c r="AZ132" s="75"/>
      <c r="BA132" s="75"/>
      <c r="BB132" s="75"/>
      <c r="BC132" s="80"/>
      <c r="BD132" s="497"/>
      <c r="BE132" s="497"/>
      <c r="BF132" s="1196" t="s">
        <v>641</v>
      </c>
    </row>
    <row s="1642" customFormat="1" customHeight="1" ht="16.5" hidden="1">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37"/>
      <c r="V133" s="1437"/>
      <c r="W133" s="1437"/>
      <c r="X133" s="1437"/>
      <c r="Y133" s="1437"/>
      <c r="Z133" s="1437"/>
      <c r="AA133" s="497"/>
      <c r="AB133" s="845" t="str">
        <f>AB126&amp;".3"</f>
        <v>6.1.3</v>
      </c>
      <c r="AC133" s="1107" t="s">
        <v>642</v>
      </c>
      <c r="AD133" s="410" t="s">
        <v>586</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80"/>
      <c r="BD133" s="497"/>
      <c r="BE133" s="497"/>
      <c r="BF133" s="1196" t="s">
        <v>643</v>
      </c>
    </row>
    <row s="1642" customFormat="1" customHeight="1" ht="16.5" hidden="1">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37"/>
      <c r="V134" s="1437"/>
      <c r="W134" s="1437"/>
      <c r="X134" s="1437"/>
      <c r="Y134" s="1437"/>
      <c r="Z134" s="1437"/>
      <c r="AA134" s="497"/>
      <c r="AB134" s="845" t="str">
        <f>AB125&amp;".2"</f>
        <v>6.2</v>
      </c>
      <c r="AC134" s="556" t="s">
        <v>591</v>
      </c>
      <c r="AD134" s="410" t="s">
        <v>586</v>
      </c>
      <c r="AE134" s="75"/>
      <c r="AF134" s="75"/>
      <c r="AG134" s="75"/>
      <c r="AH134" s="75"/>
      <c r="AI134" s="1732"/>
      <c r="AJ134" s="1732"/>
      <c r="AK134" s="1732"/>
      <c r="AL134" s="75"/>
      <c r="AM134" s="75"/>
      <c r="AN134" s="75"/>
      <c r="AO134" s="75"/>
      <c r="AP134" s="75"/>
      <c r="AQ134" s="75"/>
      <c r="AR134" s="75"/>
      <c r="AS134" s="1732"/>
      <c r="AT134" s="1732"/>
      <c r="AU134" s="1732"/>
      <c r="AV134" s="75"/>
      <c r="AW134" s="75"/>
      <c r="AX134" s="75"/>
      <c r="AY134" s="75"/>
      <c r="AZ134" s="75"/>
      <c r="BA134" s="75"/>
      <c r="BB134" s="75"/>
      <c r="BC134" s="80"/>
      <c r="BD134" s="497"/>
      <c r="BE134" s="497"/>
      <c r="BF134" s="1196" t="s">
        <v>644</v>
      </c>
    </row>
    <row s="1642" customFormat="1" customHeight="1" ht="16.5" hidden="1">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37"/>
      <c r="V135" s="1437"/>
      <c r="W135" s="1437"/>
      <c r="X135" s="1437"/>
      <c r="Y135" s="1437"/>
      <c r="Z135" s="1437"/>
      <c r="AA135" s="497"/>
      <c r="AB135" s="565" t="s">
        <v>645</v>
      </c>
      <c r="AC135" s="566" t="s">
        <v>646</v>
      </c>
      <c r="AD135" s="410" t="s">
        <v>586</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80"/>
      <c r="BD135" s="497"/>
      <c r="BE135" s="497"/>
      <c r="BF135" s="1196" t="s">
        <v>647</v>
      </c>
    </row>
    <row s="1642" customFormat="1" customHeight="1" ht="16.5" hidden="1">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37"/>
      <c r="V136" s="1437"/>
      <c r="W136" s="1437"/>
      <c r="X136" s="1437"/>
      <c r="Y136" s="1437"/>
      <c r="Z136" s="1437"/>
      <c r="AA136" s="497"/>
      <c r="AB136" s="845" t="str">
        <f>AB135&amp;".1"</f>
        <v>7.1</v>
      </c>
      <c r="AC136" s="556" t="s">
        <v>589</v>
      </c>
      <c r="AD136" s="410" t="s">
        <v>586</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80"/>
      <c r="BD136" s="497"/>
      <c r="BE136" s="497"/>
      <c r="BF136" s="1196" t="s">
        <v>648</v>
      </c>
    </row>
    <row s="1642" customFormat="1" customHeight="1" ht="16.5" hidden="1">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37"/>
      <c r="V137" s="1437"/>
      <c r="W137" s="1437"/>
      <c r="X137" s="1437"/>
      <c r="Y137" s="1437"/>
      <c r="Z137" s="1437"/>
      <c r="AA137" s="497"/>
      <c r="AB137" s="845" t="str">
        <f>AB135&amp;".2"</f>
        <v>7.2</v>
      </c>
      <c r="AC137" s="556" t="s">
        <v>591</v>
      </c>
      <c r="AD137" s="410" t="s">
        <v>586</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80"/>
      <c r="BD137" s="497"/>
      <c r="BE137" s="497"/>
      <c r="BF137" s="1196" t="s">
        <v>649</v>
      </c>
    </row>
    <row s="1642" customFormat="1" customHeight="1" ht="33" hidden="1">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37"/>
      <c r="V138" s="1437"/>
      <c r="W138" s="1437"/>
      <c r="X138" s="1437"/>
      <c r="Y138" s="1437"/>
      <c r="Z138" s="1437"/>
      <c r="AA138" s="497"/>
      <c r="AB138" s="565" t="s">
        <v>650</v>
      </c>
      <c r="AC138" s="566" t="s">
        <v>651</v>
      </c>
      <c r="AD138" s="410" t="s">
        <v>586</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80"/>
      <c r="BD138" s="497"/>
      <c r="BE138" s="497"/>
      <c r="BF138" s="1196" t="s">
        <v>652</v>
      </c>
    </row>
    <row s="1642" customFormat="1" customHeight="1" ht="16.5" hidden="1">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37"/>
      <c r="V139" s="1437"/>
      <c r="W139" s="1437"/>
      <c r="X139" s="1437"/>
      <c r="Y139" s="1437"/>
      <c r="Z139" s="1437"/>
      <c r="AA139" s="497"/>
      <c r="AB139" s="845" t="str">
        <f>AB138&amp;".1"</f>
        <v>8.1</v>
      </c>
      <c r="AC139" s="556" t="s">
        <v>589</v>
      </c>
      <c r="AD139" s="410" t="s">
        <v>586</v>
      </c>
      <c r="AE139" s="75"/>
      <c r="AF139" s="75"/>
      <c r="AG139" s="75"/>
      <c r="AH139" s="75"/>
      <c r="AI139" s="1732"/>
      <c r="AJ139" s="1732"/>
      <c r="AK139" s="1732"/>
      <c r="AL139" s="75"/>
      <c r="AM139" s="75"/>
      <c r="AN139" s="75"/>
      <c r="AO139" s="75"/>
      <c r="AP139" s="75"/>
      <c r="AQ139" s="75"/>
      <c r="AR139" s="75"/>
      <c r="AS139" s="1732"/>
      <c r="AT139" s="1732"/>
      <c r="AU139" s="1732"/>
      <c r="AV139" s="75"/>
      <c r="AW139" s="75"/>
      <c r="AX139" s="75"/>
      <c r="AY139" s="75"/>
      <c r="AZ139" s="75"/>
      <c r="BA139" s="75"/>
      <c r="BB139" s="75"/>
      <c r="BC139" s="80"/>
      <c r="BD139" s="497"/>
      <c r="BE139" s="497"/>
      <c r="BF139" s="1196" t="s">
        <v>653</v>
      </c>
    </row>
    <row s="1642" customFormat="1" customHeight="1" ht="16.5" hidden="1">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37"/>
      <c r="V140" s="1437"/>
      <c r="W140" s="1437"/>
      <c r="X140" s="1437"/>
      <c r="Y140" s="1437"/>
      <c r="Z140" s="1437"/>
      <c r="AA140" s="497"/>
      <c r="AB140" s="845" t="str">
        <f>AB139&amp;".1"</f>
        <v>8.1.1</v>
      </c>
      <c r="AC140" s="680" t="s">
        <v>654</v>
      </c>
      <c r="AD140" s="410" t="s">
        <v>485</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80"/>
      <c r="BD140" s="497"/>
      <c r="BE140" s="497"/>
      <c r="BF140" s="1196" t="s">
        <v>655</v>
      </c>
    </row>
    <row s="1642" customFormat="1" customHeight="1" ht="16.5" hidden="1">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37"/>
      <c r="V141" s="1437"/>
      <c r="W141" s="1437"/>
      <c r="X141" s="1437"/>
      <c r="Y141" s="1437"/>
      <c r="Z141" s="1437"/>
      <c r="AA141" s="497"/>
      <c r="AB141" s="845" t="str">
        <f>AB138&amp;".2"</f>
        <v>8.2</v>
      </c>
      <c r="AC141" s="556" t="s">
        <v>591</v>
      </c>
      <c r="AD141" s="410" t="s">
        <v>586</v>
      </c>
      <c r="AE141" s="75"/>
      <c r="AF141" s="75"/>
      <c r="AG141" s="75"/>
      <c r="AH141" s="75"/>
      <c r="AI141" s="1732"/>
      <c r="AJ141" s="1732"/>
      <c r="AK141" s="1732"/>
      <c r="AL141" s="75"/>
      <c r="AM141" s="75"/>
      <c r="AN141" s="75"/>
      <c r="AO141" s="75"/>
      <c r="AP141" s="75"/>
      <c r="AQ141" s="75"/>
      <c r="AR141" s="75"/>
      <c r="AS141" s="1732"/>
      <c r="AT141" s="1732"/>
      <c r="AU141" s="1732"/>
      <c r="AV141" s="75"/>
      <c r="AW141" s="75"/>
      <c r="AX141" s="75"/>
      <c r="AY141" s="75"/>
      <c r="AZ141" s="75"/>
      <c r="BA141" s="75"/>
      <c r="BB141" s="75"/>
      <c r="BC141" s="80"/>
      <c r="BD141" s="497"/>
      <c r="BE141" s="497"/>
      <c r="BF141" s="1196" t="s">
        <v>656</v>
      </c>
    </row>
    <row s="1642" customFormat="1" customHeight="1" ht="16.5" hidden="1">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37"/>
      <c r="V142" s="1437"/>
      <c r="W142" s="1437"/>
      <c r="X142" s="1437"/>
      <c r="Y142" s="1437"/>
      <c r="Z142" s="1437"/>
      <c r="AA142" s="497"/>
      <c r="AB142" s="845" t="str">
        <f>AB141&amp;".1"</f>
        <v>8.2.1</v>
      </c>
      <c r="AC142" s="680" t="s">
        <v>654</v>
      </c>
      <c r="AD142" s="167" t="s">
        <v>485</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1"/>
      <c r="BD142" s="497"/>
      <c r="BE142" s="497"/>
      <c r="BF142" s="1196" t="s">
        <v>657</v>
      </c>
    </row>
    <row s="1642" customFormat="1" customHeight="1" ht="16.5" hidden="1">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37"/>
      <c r="V143" s="1437"/>
      <c r="W143" s="1437"/>
      <c r="X143" s="1437"/>
      <c r="Y143" s="1437"/>
      <c r="Z143" s="1437"/>
      <c r="AA143" s="497"/>
      <c r="AB143" s="479" t="s">
        <v>658</v>
      </c>
      <c r="AC143" s="478" t="s">
        <v>659</v>
      </c>
      <c r="AD143" s="167" t="s">
        <v>586</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4"/>
      <c r="BD143" s="497"/>
      <c r="BE143" s="497"/>
      <c r="BF143" s="1196" t="s">
        <v>660</v>
      </c>
    </row>
    <row s="1642" customFormat="1" customHeight="1" ht="16.5" hidden="1">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37"/>
      <c r="V144" s="1437"/>
      <c r="W144" s="1437"/>
      <c r="X144" s="1437"/>
      <c r="Y144" s="1437"/>
      <c r="Z144" s="1437"/>
      <c r="AA144" s="497"/>
      <c r="AB144" s="845" t="str">
        <f>AB143&amp;".1"</f>
        <v>9.1</v>
      </c>
      <c r="AC144" s="556" t="s">
        <v>589</v>
      </c>
      <c r="AD144" s="167" t="s">
        <v>586</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4"/>
      <c r="BD144" s="497"/>
      <c r="BE144" s="497"/>
      <c r="BF144" s="1196" t="s">
        <v>661</v>
      </c>
    </row>
    <row s="1642" customFormat="1" customHeight="1" ht="16.5" hidden="1">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37"/>
      <c r="V145" s="1437"/>
      <c r="W145" s="1437"/>
      <c r="X145" s="1437"/>
      <c r="Y145" s="1437"/>
      <c r="Z145" s="1437"/>
      <c r="AA145" s="497"/>
      <c r="AB145" s="845" t="str">
        <f>AB144&amp;".1"</f>
        <v>9.1.1</v>
      </c>
      <c r="AC145" s="681" t="s">
        <v>630</v>
      </c>
      <c r="AD145" s="167" t="s">
        <v>586</v>
      </c>
      <c r="AE145" s="78"/>
      <c r="AF145" s="78"/>
      <c r="AG145" s="78"/>
      <c r="AH145" s="78"/>
      <c r="AI145" s="1737"/>
      <c r="AJ145" s="1737"/>
      <c r="AK145" s="1737"/>
      <c r="AL145" s="78"/>
      <c r="AM145" s="78"/>
      <c r="AN145" s="78"/>
      <c r="AO145" s="78"/>
      <c r="AP145" s="78"/>
      <c r="AQ145" s="78"/>
      <c r="AR145" s="78"/>
      <c r="AS145" s="1737"/>
      <c r="AT145" s="1737"/>
      <c r="AU145" s="1737"/>
      <c r="AV145" s="78"/>
      <c r="AW145" s="78"/>
      <c r="AX145" s="78"/>
      <c r="AY145" s="78"/>
      <c r="AZ145" s="78"/>
      <c r="BA145" s="78"/>
      <c r="BB145" s="78"/>
      <c r="BC145" s="74"/>
      <c r="BD145" s="497"/>
      <c r="BE145" s="497"/>
      <c r="BF145" s="1196" t="s">
        <v>662</v>
      </c>
    </row>
    <row s="1642" customFormat="1" customHeight="1" ht="16.5" hidden="1">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37"/>
      <c r="V146" s="1437"/>
      <c r="W146" s="1437"/>
      <c r="X146" s="1437"/>
      <c r="Y146" s="1437"/>
      <c r="Z146" s="1437"/>
      <c r="AA146" s="497"/>
      <c r="AB146" s="845" t="str">
        <f>AB144&amp;".2"</f>
        <v>9.1.2</v>
      </c>
      <c r="AC146" s="682" t="s">
        <v>632</v>
      </c>
      <c r="AD146" s="167" t="s">
        <v>586</v>
      </c>
      <c r="AE146" s="82">
        <f>AE147+AE148+AE149+AE150</f>
        <v>0</v>
      </c>
      <c r="AF146" s="82">
        <f>AF147+AF148+AF149+AF150</f>
        <v>0</v>
      </c>
      <c r="AG146" s="82">
        <f>AG147+AG148+AG149+AG150</f>
        <v>0</v>
      </c>
      <c r="AH146" s="82">
        <f>AH147+AH148+AH149+AH150</f>
        <v>0</v>
      </c>
      <c r="AI146" s="1741">
        <f>AI147+AI148+AI149+AI150</f>
        <v>0</v>
      </c>
      <c r="AJ146" s="1741">
        <f>AJ147+AJ148+AJ149+AJ150</f>
        <v>0</v>
      </c>
      <c r="AK146" s="1741">
        <f>AK147+AK148+AK149+AK150</f>
        <v>0</v>
      </c>
      <c r="AL146" s="82">
        <f>AL147+AL148+AL149+AL150</f>
        <v>0</v>
      </c>
      <c r="AM146" s="82">
        <f>AM147+AM148+AM149+AM150</f>
        <v>0</v>
      </c>
      <c r="AN146" s="82">
        <f>AN147+AN148+AN149+AN150</f>
        <v>0</v>
      </c>
      <c r="AO146" s="82">
        <f>AO147+AO148+AO149+AO150</f>
        <v>0</v>
      </c>
      <c r="AP146" s="82">
        <f>AP147+AP148+AP149+AP150</f>
        <v>0</v>
      </c>
      <c r="AQ146" s="82">
        <f>AQ147+AQ148+AQ149+AQ150</f>
        <v>0</v>
      </c>
      <c r="AR146" s="82">
        <f>AR147+AR148+AR149+AR150</f>
        <v>0</v>
      </c>
      <c r="AS146" s="1741">
        <f>AS147+AS148+AS149+AS150</f>
        <v>0</v>
      </c>
      <c r="AT146" s="1741">
        <f>AT147+AT148+AT149+AT150</f>
        <v>0</v>
      </c>
      <c r="AU146" s="1741">
        <f>AU147+AU148+AU149+AU150</f>
        <v>0</v>
      </c>
      <c r="AV146" s="82">
        <f>AV147+AV148+AV149+AV150</f>
        <v>0</v>
      </c>
      <c r="AW146" s="82">
        <f>AW147+AW148+AW149+AW150</f>
        <v>0</v>
      </c>
      <c r="AX146" s="82">
        <f>AX147+AX148+AX149+AX150</f>
        <v>0</v>
      </c>
      <c r="AY146" s="82">
        <f>AY147+AY148+AY149+AY150</f>
        <v>0</v>
      </c>
      <c r="AZ146" s="82">
        <f>AZ147+AZ148+AZ149+AZ150</f>
        <v>0</v>
      </c>
      <c r="BA146" s="82">
        <f>BA147+BA148+BA149+BA150</f>
        <v>0</v>
      </c>
      <c r="BB146" s="82">
        <f>BB147+BB148+BB149+BB150</f>
        <v>0</v>
      </c>
      <c r="BC146" s="74"/>
      <c r="BD146" s="497"/>
      <c r="BE146" s="497"/>
      <c r="BF146" s="1196" t="s">
        <v>663</v>
      </c>
    </row>
    <row s="1642" customFormat="1" customHeight="1" ht="16.5" hidden="1">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37"/>
      <c r="V147" s="1437"/>
      <c r="W147" s="1437"/>
      <c r="X147" s="1437"/>
      <c r="Y147" s="1437"/>
      <c r="Z147" s="1437"/>
      <c r="AA147" s="497"/>
      <c r="AB147" s="845" t="str">
        <f>AB146&amp;".1"</f>
        <v>9.1.2.1</v>
      </c>
      <c r="AC147" s="683" t="s">
        <v>634</v>
      </c>
      <c r="AD147" s="410" t="s">
        <v>586</v>
      </c>
      <c r="AE147" s="83"/>
      <c r="AF147" s="83"/>
      <c r="AG147" s="83"/>
      <c r="AH147" s="83"/>
      <c r="AI147" s="1742"/>
      <c r="AJ147" s="1742"/>
      <c r="AK147" s="1742"/>
      <c r="AL147" s="83"/>
      <c r="AM147" s="83"/>
      <c r="AN147" s="83"/>
      <c r="AO147" s="83"/>
      <c r="AP147" s="83"/>
      <c r="AQ147" s="83"/>
      <c r="AR147" s="83"/>
      <c r="AS147" s="1742"/>
      <c r="AT147" s="1742"/>
      <c r="AU147" s="1742"/>
      <c r="AV147" s="83"/>
      <c r="AW147" s="83"/>
      <c r="AX147" s="83"/>
      <c r="AY147" s="83"/>
      <c r="AZ147" s="83"/>
      <c r="BA147" s="83"/>
      <c r="BB147" s="83"/>
      <c r="BC147" s="74"/>
      <c r="BD147" s="497"/>
      <c r="BE147" s="497"/>
      <c r="BF147" s="1196" t="s">
        <v>664</v>
      </c>
    </row>
    <row s="1642" customFormat="1" customHeight="1" ht="16.5" hidden="1">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37"/>
      <c r="V148" s="1437"/>
      <c r="W148" s="1437"/>
      <c r="X148" s="1437"/>
      <c r="Y148" s="1437"/>
      <c r="Z148" s="1437"/>
      <c r="AA148" s="497"/>
      <c r="AB148" s="845" t="str">
        <f>AB146&amp;".2"</f>
        <v>9.1.2.2</v>
      </c>
      <c r="AC148" s="684" t="s">
        <v>636</v>
      </c>
      <c r="AD148" s="167" t="s">
        <v>586</v>
      </c>
      <c r="AE148" s="78"/>
      <c r="AF148" s="78"/>
      <c r="AG148" s="78"/>
      <c r="AH148" s="78"/>
      <c r="AI148" s="1737"/>
      <c r="AJ148" s="1737"/>
      <c r="AK148" s="1737"/>
      <c r="AL148" s="78"/>
      <c r="AM148" s="78"/>
      <c r="AN148" s="78"/>
      <c r="AO148" s="78"/>
      <c r="AP148" s="78"/>
      <c r="AQ148" s="78"/>
      <c r="AR148" s="78"/>
      <c r="AS148" s="1737"/>
      <c r="AT148" s="1737"/>
      <c r="AU148" s="1737"/>
      <c r="AV148" s="78"/>
      <c r="AW148" s="78"/>
      <c r="AX148" s="78"/>
      <c r="AY148" s="78"/>
      <c r="AZ148" s="78"/>
      <c r="BA148" s="78"/>
      <c r="BB148" s="78"/>
      <c r="BC148" s="74"/>
      <c r="BD148" s="497"/>
      <c r="BE148" s="497"/>
      <c r="BF148" s="1196" t="s">
        <v>665</v>
      </c>
    </row>
    <row s="1642" customFormat="1" customHeight="1" ht="16.5" hidden="1">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37"/>
      <c r="V149" s="1437"/>
      <c r="W149" s="1437"/>
      <c r="X149" s="1437"/>
      <c r="Y149" s="1437"/>
      <c r="Z149" s="1437"/>
      <c r="AA149" s="497"/>
      <c r="AB149" s="845" t="str">
        <f>AB146&amp;".3"</f>
        <v>9.1.2.3</v>
      </c>
      <c r="AC149" s="684" t="s">
        <v>638</v>
      </c>
      <c r="AD149" s="167" t="s">
        <v>586</v>
      </c>
      <c r="AE149" s="79"/>
      <c r="AF149" s="79"/>
      <c r="AG149" s="79"/>
      <c r="AH149" s="79"/>
      <c r="AI149" s="1738"/>
      <c r="AJ149" s="1738"/>
      <c r="AK149" s="1738"/>
      <c r="AL149" s="79"/>
      <c r="AM149" s="79"/>
      <c r="AN149" s="79"/>
      <c r="AO149" s="79"/>
      <c r="AP149" s="79"/>
      <c r="AQ149" s="79"/>
      <c r="AR149" s="79"/>
      <c r="AS149" s="1738"/>
      <c r="AT149" s="1738"/>
      <c r="AU149" s="1738"/>
      <c r="AV149" s="79"/>
      <c r="AW149" s="79"/>
      <c r="AX149" s="79"/>
      <c r="AY149" s="79"/>
      <c r="AZ149" s="79"/>
      <c r="BA149" s="79"/>
      <c r="BB149" s="79"/>
      <c r="BC149" s="74"/>
      <c r="BD149" s="497"/>
      <c r="BE149" s="497"/>
      <c r="BF149" s="1196" t="s">
        <v>666</v>
      </c>
    </row>
    <row s="1642" customFormat="1" customHeight="1" ht="16.5" hidden="1">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37"/>
      <c r="V150" s="1437"/>
      <c r="W150" s="1437"/>
      <c r="X150" s="1437"/>
      <c r="Y150" s="1437"/>
      <c r="Z150" s="1437"/>
      <c r="AA150" s="497"/>
      <c r="AB150" s="845" t="str">
        <f>AB146&amp;".4"</f>
        <v>9.1.2.4</v>
      </c>
      <c r="AC150" s="684" t="s">
        <v>640</v>
      </c>
      <c r="AD150" s="410" t="s">
        <v>586</v>
      </c>
      <c r="AE150" s="75"/>
      <c r="AF150" s="77"/>
      <c r="AG150" s="75"/>
      <c r="AH150" s="75"/>
      <c r="AI150" s="1732"/>
      <c r="AJ150" s="1732"/>
      <c r="AK150" s="1732"/>
      <c r="AL150" s="75"/>
      <c r="AM150" s="75"/>
      <c r="AN150" s="75"/>
      <c r="AO150" s="75"/>
      <c r="AP150" s="75"/>
      <c r="AQ150" s="75"/>
      <c r="AR150" s="75"/>
      <c r="AS150" s="1732"/>
      <c r="AT150" s="1732"/>
      <c r="AU150" s="1732"/>
      <c r="AV150" s="75"/>
      <c r="AW150" s="75"/>
      <c r="AX150" s="75"/>
      <c r="AY150" s="75"/>
      <c r="AZ150" s="75"/>
      <c r="BA150" s="75"/>
      <c r="BB150" s="75"/>
      <c r="BC150" s="74"/>
      <c r="BD150" s="497"/>
      <c r="BE150" s="497"/>
      <c r="BF150" s="1196" t="s">
        <v>667</v>
      </c>
    </row>
    <row s="1642" customFormat="1" customHeight="1" ht="16.5" hidden="1">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37"/>
      <c r="V151" s="1437"/>
      <c r="W151" s="1437"/>
      <c r="X151" s="1437"/>
      <c r="Y151" s="1437"/>
      <c r="Z151" s="1437"/>
      <c r="AA151" s="497"/>
      <c r="AB151" s="845" t="str">
        <f>AB143&amp;".2"</f>
        <v>9.2</v>
      </c>
      <c r="AC151" s="556" t="s">
        <v>591</v>
      </c>
      <c r="AD151" s="410" t="s">
        <v>586</v>
      </c>
      <c r="AE151" s="75">
        <f>AE137-AE141</f>
        <v>0</v>
      </c>
      <c r="AF151" s="75">
        <f>AF137-AF141</f>
        <v>0</v>
      </c>
      <c r="AG151" s="75">
        <f>AG137-AG141</f>
        <v>0</v>
      </c>
      <c r="AH151" s="75">
        <f>AH137-AH141</f>
        <v>0</v>
      </c>
      <c r="AI151" s="1732">
        <f>AI137-AI141</f>
        <v>0</v>
      </c>
      <c r="AJ151" s="1732">
        <f>AJ137-AJ141</f>
        <v>0</v>
      </c>
      <c r="AK151" s="1732">
        <f>AK137-AK141</f>
        <v>0</v>
      </c>
      <c r="AL151" s="75">
        <f>AL137-AL141</f>
        <v>0</v>
      </c>
      <c r="AM151" s="75">
        <f>AM137-AM141</f>
        <v>0</v>
      </c>
      <c r="AN151" s="75">
        <f>AN137-AN141</f>
        <v>0</v>
      </c>
      <c r="AO151" s="75">
        <f>AO137-AO141</f>
        <v>0</v>
      </c>
      <c r="AP151" s="75">
        <f>AP137-AP141</f>
        <v>0</v>
      </c>
      <c r="AQ151" s="75">
        <f>AQ137-AQ141</f>
        <v>0</v>
      </c>
      <c r="AR151" s="75">
        <f>AR137-AR141</f>
        <v>0</v>
      </c>
      <c r="AS151" s="1732">
        <f>AS137-AS141</f>
        <v>0</v>
      </c>
      <c r="AT151" s="1732">
        <f>AT137-AT141</f>
        <v>0</v>
      </c>
      <c r="AU151" s="1732">
        <f>AU137-AU141</f>
        <v>0</v>
      </c>
      <c r="AV151" s="75">
        <f>AV137-AV141</f>
        <v>0</v>
      </c>
      <c r="AW151" s="75">
        <f>AW137-AW141</f>
        <v>0</v>
      </c>
      <c r="AX151" s="75">
        <f>AX137-AX141</f>
        <v>0</v>
      </c>
      <c r="AY151" s="75">
        <f>AY137-AY141</f>
        <v>0</v>
      </c>
      <c r="AZ151" s="75">
        <f>AZ137-AZ141</f>
        <v>0</v>
      </c>
      <c r="BA151" s="75">
        <f>BA137-BA141</f>
        <v>0</v>
      </c>
      <c r="BB151" s="75">
        <f>BB137-BB141</f>
        <v>0</v>
      </c>
      <c r="BC151" s="74"/>
      <c r="BD151" s="497"/>
      <c r="BE151" s="497"/>
      <c r="BF151" s="1196" t="s">
        <v>668</v>
      </c>
    </row>
    <row s="1642" customFormat="1" customHeight="1" ht="16.5" hidden="1">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37"/>
      <c r="V152" s="1437"/>
      <c r="W152" s="1437"/>
      <c r="X152" s="1437"/>
      <c r="Y152" s="1437"/>
      <c r="Z152" s="1437"/>
      <c r="AA152" s="497"/>
      <c r="AB152" s="484" t="s">
        <v>669</v>
      </c>
      <c r="AC152" s="681" t="s">
        <v>630</v>
      </c>
      <c r="AD152" s="410" t="s">
        <v>586</v>
      </c>
      <c r="AE152" s="75"/>
      <c r="AF152" s="75"/>
      <c r="AG152" s="75"/>
      <c r="AH152" s="75"/>
      <c r="AI152" s="1732"/>
      <c r="AJ152" s="1732"/>
      <c r="AK152" s="1732"/>
      <c r="AL152" s="75"/>
      <c r="AM152" s="75"/>
      <c r="AN152" s="75"/>
      <c r="AO152" s="75"/>
      <c r="AP152" s="75"/>
      <c r="AQ152" s="75"/>
      <c r="AR152" s="75"/>
      <c r="AS152" s="1732"/>
      <c r="AT152" s="1732"/>
      <c r="AU152" s="1732"/>
      <c r="AV152" s="75"/>
      <c r="AW152" s="75"/>
      <c r="AX152" s="75"/>
      <c r="AY152" s="75"/>
      <c r="AZ152" s="75"/>
      <c r="BA152" s="75"/>
      <c r="BB152" s="75"/>
      <c r="BC152" s="74"/>
      <c r="BD152" s="497"/>
      <c r="BE152" s="497"/>
      <c r="BF152" s="1196" t="s">
        <v>670</v>
      </c>
    </row>
    <row s="1642" customFormat="1" customHeight="1" ht="16.5" hidden="1">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37"/>
      <c r="V153" s="1437"/>
      <c r="W153" s="1437"/>
      <c r="X153" s="1437"/>
      <c r="Y153" s="1437"/>
      <c r="Z153" s="1437"/>
      <c r="AA153" s="497"/>
      <c r="AB153" s="485" t="s">
        <v>671</v>
      </c>
      <c r="AC153" s="682" t="s">
        <v>632</v>
      </c>
      <c r="AD153" s="167" t="s">
        <v>586</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4"/>
      <c r="BD153" s="497"/>
      <c r="BE153" s="497"/>
      <c r="BF153" s="1196" t="s">
        <v>672</v>
      </c>
    </row>
    <row s="1642" customFormat="1" customHeight="1" ht="16.5" hidden="1">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37"/>
      <c r="V154" s="1437"/>
      <c r="W154" s="1437"/>
      <c r="X154" s="1437"/>
      <c r="Y154" s="1437"/>
      <c r="Z154" s="1437"/>
      <c r="AA154" s="497"/>
      <c r="AB154" s="484" t="s">
        <v>673</v>
      </c>
      <c r="AC154" s="683" t="s">
        <v>634</v>
      </c>
      <c r="AD154" s="410" t="s">
        <v>586</v>
      </c>
      <c r="AE154" s="83"/>
      <c r="AF154" s="83"/>
      <c r="AG154" s="83"/>
      <c r="AH154" s="83"/>
      <c r="AI154" s="1742"/>
      <c r="AJ154" s="1742"/>
      <c r="AK154" s="1742"/>
      <c r="AL154" s="83"/>
      <c r="AM154" s="83"/>
      <c r="AN154" s="83"/>
      <c r="AO154" s="83"/>
      <c r="AP154" s="83"/>
      <c r="AQ154" s="83"/>
      <c r="AR154" s="83"/>
      <c r="AS154" s="1742"/>
      <c r="AT154" s="1742"/>
      <c r="AU154" s="1742"/>
      <c r="AV154" s="83"/>
      <c r="AW154" s="83"/>
      <c r="AX154" s="83"/>
      <c r="AY154" s="83"/>
      <c r="AZ154" s="83"/>
      <c r="BA154" s="83"/>
      <c r="BB154" s="83"/>
      <c r="BC154" s="74"/>
      <c r="BD154" s="497"/>
      <c r="BE154" s="497"/>
      <c r="BF154" s="1196" t="s">
        <v>674</v>
      </c>
    </row>
    <row s="1642" customFormat="1" customHeight="1" ht="16.5" hidden="1">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37"/>
      <c r="V155" s="1437"/>
      <c r="W155" s="1437"/>
      <c r="X155" s="1437"/>
      <c r="Y155" s="1437"/>
      <c r="Z155" s="1437"/>
      <c r="AA155" s="497"/>
      <c r="AB155" s="484" t="s">
        <v>675</v>
      </c>
      <c r="AC155" s="684" t="s">
        <v>636</v>
      </c>
      <c r="AD155" s="167" t="s">
        <v>586</v>
      </c>
      <c r="AE155" s="79"/>
      <c r="AF155" s="79"/>
      <c r="AG155" s="79"/>
      <c r="AH155" s="79"/>
      <c r="AI155" s="1738"/>
      <c r="AJ155" s="1738"/>
      <c r="AK155" s="1738"/>
      <c r="AL155" s="79"/>
      <c r="AM155" s="79"/>
      <c r="AN155" s="79"/>
      <c r="AO155" s="79"/>
      <c r="AP155" s="79"/>
      <c r="AQ155" s="79"/>
      <c r="AR155" s="79"/>
      <c r="AS155" s="1738"/>
      <c r="AT155" s="1738"/>
      <c r="AU155" s="1738"/>
      <c r="AV155" s="79"/>
      <c r="AW155" s="79"/>
      <c r="AX155" s="79"/>
      <c r="AY155" s="79"/>
      <c r="AZ155" s="79"/>
      <c r="BA155" s="79"/>
      <c r="BB155" s="79"/>
      <c r="BC155" s="74"/>
      <c r="BD155" s="497"/>
      <c r="BE155" s="497"/>
      <c r="BF155" s="1196" t="s">
        <v>676</v>
      </c>
    </row>
    <row s="1642" customFormat="1" customHeight="1" ht="16.5" hidden="1">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37"/>
      <c r="V156" s="1437"/>
      <c r="W156" s="1437"/>
      <c r="X156" s="1437"/>
      <c r="Y156" s="1437"/>
      <c r="Z156" s="1437"/>
      <c r="AA156" s="497"/>
      <c r="AB156" s="856" t="s">
        <v>677</v>
      </c>
      <c r="AC156" s="684" t="s">
        <v>638</v>
      </c>
      <c r="AD156" s="410" t="s">
        <v>586</v>
      </c>
      <c r="AE156" s="75"/>
      <c r="AF156" s="75"/>
      <c r="AG156" s="75"/>
      <c r="AH156" s="75"/>
      <c r="AI156" s="1732"/>
      <c r="AJ156" s="1732"/>
      <c r="AK156" s="1732"/>
      <c r="AL156" s="75"/>
      <c r="AM156" s="75"/>
      <c r="AN156" s="75"/>
      <c r="AO156" s="75"/>
      <c r="AP156" s="75"/>
      <c r="AQ156" s="75"/>
      <c r="AR156" s="75"/>
      <c r="AS156" s="1732"/>
      <c r="AT156" s="1732"/>
      <c r="AU156" s="1732"/>
      <c r="AV156" s="75"/>
      <c r="AW156" s="75"/>
      <c r="AX156" s="75"/>
      <c r="AY156" s="75"/>
      <c r="AZ156" s="75"/>
      <c r="BA156" s="75"/>
      <c r="BB156" s="75"/>
      <c r="BC156" s="74"/>
      <c r="BD156" s="497"/>
      <c r="BE156" s="497"/>
      <c r="BF156" s="1196" t="s">
        <v>678</v>
      </c>
    </row>
    <row s="1642" customFormat="1" customHeight="1" ht="16.5" hidden="1">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37"/>
      <c r="V157" s="1437"/>
      <c r="W157" s="1437"/>
      <c r="X157" s="1437"/>
      <c r="Y157" s="1437"/>
      <c r="Z157" s="1437"/>
      <c r="AA157" s="497"/>
      <c r="AB157" s="857" t="s">
        <v>679</v>
      </c>
      <c r="AC157" s="684" t="s">
        <v>640</v>
      </c>
      <c r="AD157" s="410" t="s">
        <v>586</v>
      </c>
      <c r="AE157" s="75"/>
      <c r="AF157" s="75"/>
      <c r="AG157" s="75"/>
      <c r="AH157" s="75"/>
      <c r="AI157" s="1732"/>
      <c r="AJ157" s="1732"/>
      <c r="AK157" s="1732"/>
      <c r="AL157" s="75"/>
      <c r="AM157" s="75"/>
      <c r="AN157" s="75"/>
      <c r="AO157" s="75"/>
      <c r="AP157" s="75"/>
      <c r="AQ157" s="75"/>
      <c r="AR157" s="75"/>
      <c r="AS157" s="1732"/>
      <c r="AT157" s="1732"/>
      <c r="AU157" s="1732"/>
      <c r="AV157" s="75"/>
      <c r="AW157" s="75"/>
      <c r="AX157" s="75"/>
      <c r="AY157" s="75"/>
      <c r="AZ157" s="75"/>
      <c r="BA157" s="75"/>
      <c r="BB157" s="75"/>
      <c r="BC157" s="74"/>
      <c r="BD157" s="497"/>
      <c r="BE157" s="497"/>
      <c r="BF157" s="1196" t="s">
        <v>680</v>
      </c>
    </row>
    <row s="1642"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681</v>
      </c>
      <c r="P158" s="497"/>
      <c r="Q158" s="497"/>
      <c r="R158" s="497"/>
      <c r="S158" s="497"/>
      <c r="T158" s="805">
        <f>AND(T157,H96="двухставочный")</f>
        <v>0</v>
      </c>
      <c r="U158" s="1437"/>
      <c r="V158" s="1437"/>
      <c r="W158" s="1437"/>
      <c r="X158" s="1437"/>
      <c r="Y158" s="1437"/>
      <c r="Z158" s="1437"/>
      <c r="AA158" s="497"/>
      <c r="AB158" s="322" t="s">
        <v>682</v>
      </c>
      <c r="AC158" s="594" t="s">
        <v>683</v>
      </c>
      <c r="AD158" s="508" t="s">
        <v>684</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685</v>
      </c>
    </row>
    <row s="1642"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681</v>
      </c>
      <c r="P159" s="497"/>
      <c r="Q159" s="497"/>
      <c r="R159" s="497"/>
      <c r="S159" s="497"/>
      <c r="T159" s="805" cm="1" t="str">
        <f t="array" ref="T159:T159">T158</f>
        <v>false</v>
      </c>
      <c r="U159" s="1437"/>
      <c r="V159" s="1437"/>
      <c r="W159" s="1437"/>
      <c r="X159" s="1437"/>
      <c r="Y159" s="1437"/>
      <c r="Z159" s="1437"/>
      <c r="AA159" s="497"/>
      <c r="AB159" s="845" t="str">
        <f>AB158&amp;".1"</f>
        <v>10.1</v>
      </c>
      <c r="AC159" s="561" t="s">
        <v>634</v>
      </c>
      <c r="AD159" s="508" t="s">
        <v>684</v>
      </c>
      <c r="AE159" s="75"/>
      <c r="AF159" s="75"/>
      <c r="AG159" s="75"/>
      <c r="AH159" s="75"/>
      <c r="AI159" s="296"/>
      <c r="AJ159" s="1732"/>
      <c r="AK159" s="1732"/>
      <c r="AL159" s="75"/>
      <c r="AM159" s="75"/>
      <c r="AN159" s="75"/>
      <c r="AO159" s="75"/>
      <c r="AP159" s="75"/>
      <c r="AQ159" s="75"/>
      <c r="AR159" s="75"/>
      <c r="AS159" s="296"/>
      <c r="AT159" s="1732"/>
      <c r="AU159" s="1732"/>
      <c r="AV159" s="75"/>
      <c r="AW159" s="75"/>
      <c r="AX159" s="75"/>
      <c r="AY159" s="75"/>
      <c r="AZ159" s="75"/>
      <c r="BA159" s="75"/>
      <c r="BB159" s="84"/>
      <c r="BC159" s="74"/>
      <c r="BD159" s="497"/>
      <c r="BE159" s="497"/>
      <c r="BF159" s="1196" t="s">
        <v>686</v>
      </c>
    </row>
    <row s="1642"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681</v>
      </c>
      <c r="P160" s="497"/>
      <c r="Q160" s="497"/>
      <c r="R160" s="497"/>
      <c r="S160" s="497"/>
      <c r="T160" s="805" cm="1" t="str">
        <f t="array" ref="T160:T160">T159</f>
        <v>false</v>
      </c>
      <c r="U160" s="1437"/>
      <c r="V160" s="1437"/>
      <c r="W160" s="1437"/>
      <c r="X160" s="1437"/>
      <c r="Y160" s="1437"/>
      <c r="Z160" s="1437"/>
      <c r="AA160" s="497"/>
      <c r="AB160" s="845" t="str">
        <f>AB158&amp;".2"</f>
        <v>10.2</v>
      </c>
      <c r="AC160" s="415" t="s">
        <v>636</v>
      </c>
      <c r="AD160" s="508" t="s">
        <v>684</v>
      </c>
      <c r="AE160" s="75"/>
      <c r="AF160" s="75"/>
      <c r="AG160" s="75"/>
      <c r="AH160" s="75"/>
      <c r="AI160" s="296"/>
      <c r="AJ160" s="1732"/>
      <c r="AK160" s="1732"/>
      <c r="AL160" s="75"/>
      <c r="AM160" s="75"/>
      <c r="AN160" s="75"/>
      <c r="AO160" s="75"/>
      <c r="AP160" s="75"/>
      <c r="AQ160" s="75"/>
      <c r="AR160" s="75"/>
      <c r="AS160" s="296"/>
      <c r="AT160" s="1732"/>
      <c r="AU160" s="1732"/>
      <c r="AV160" s="75"/>
      <c r="AW160" s="75"/>
      <c r="AX160" s="75"/>
      <c r="AY160" s="75"/>
      <c r="AZ160" s="75"/>
      <c r="BA160" s="75"/>
      <c r="BB160" s="84"/>
      <c r="BC160" s="74"/>
      <c r="BD160" s="497"/>
      <c r="BE160" s="497"/>
      <c r="BF160" s="1196" t="s">
        <v>687</v>
      </c>
    </row>
    <row s="1642"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681</v>
      </c>
      <c r="P161" s="497"/>
      <c r="Q161" s="497"/>
      <c r="R161" s="497"/>
      <c r="S161" s="497"/>
      <c r="T161" s="805" cm="1" t="str">
        <f t="array" ref="T161:T161">T160</f>
        <v>false</v>
      </c>
      <c r="U161" s="1437"/>
      <c r="V161" s="1437"/>
      <c r="W161" s="1437"/>
      <c r="X161" s="1437"/>
      <c r="Y161" s="1437"/>
      <c r="Z161" s="1437"/>
      <c r="AA161" s="497"/>
      <c r="AB161" s="845" t="str">
        <f>AB158&amp;".3"</f>
        <v>10.3</v>
      </c>
      <c r="AC161" s="415" t="s">
        <v>638</v>
      </c>
      <c r="AD161" s="508" t="s">
        <v>684</v>
      </c>
      <c r="AE161" s="75"/>
      <c r="AF161" s="75"/>
      <c r="AG161" s="75"/>
      <c r="AH161" s="75"/>
      <c r="AI161" s="296"/>
      <c r="AJ161" s="1732"/>
      <c r="AK161" s="1732"/>
      <c r="AL161" s="75"/>
      <c r="AM161" s="75"/>
      <c r="AN161" s="75"/>
      <c r="AO161" s="75"/>
      <c r="AP161" s="75"/>
      <c r="AQ161" s="75"/>
      <c r="AR161" s="75"/>
      <c r="AS161" s="296"/>
      <c r="AT161" s="1732"/>
      <c r="AU161" s="1732"/>
      <c r="AV161" s="75"/>
      <c r="AW161" s="75"/>
      <c r="AX161" s="75"/>
      <c r="AY161" s="75"/>
      <c r="AZ161" s="75"/>
      <c r="BA161" s="75"/>
      <c r="BB161" s="84"/>
      <c r="BC161" s="74"/>
      <c r="BD161" s="497"/>
      <c r="BE161" s="497"/>
      <c r="BF161" s="1196" t="s">
        <v>688</v>
      </c>
    </row>
    <row s="1642"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681</v>
      </c>
      <c r="P162" s="497"/>
      <c r="Q162" s="497"/>
      <c r="R162" s="497"/>
      <c r="S162" s="497"/>
      <c r="T162" s="805" cm="1" t="str">
        <f t="array" ref="T162:T162">T161</f>
        <v>false</v>
      </c>
      <c r="U162" s="1437"/>
      <c r="V162" s="1437"/>
      <c r="W162" s="1437"/>
      <c r="X162" s="1437"/>
      <c r="Y162" s="1437"/>
      <c r="Z162" s="1437"/>
      <c r="AA162" s="497"/>
      <c r="AB162" s="845" t="str">
        <f>AB158&amp;".4"</f>
        <v>10.4</v>
      </c>
      <c r="AC162" s="415" t="s">
        <v>640</v>
      </c>
      <c r="AD162" s="596" t="s">
        <v>684</v>
      </c>
      <c r="AE162" s="76"/>
      <c r="AF162" s="76"/>
      <c r="AG162" s="76"/>
      <c r="AH162" s="76"/>
      <c r="AI162" s="592"/>
      <c r="AJ162" s="1733"/>
      <c r="AK162" s="1733"/>
      <c r="AL162" s="76"/>
      <c r="AM162" s="76"/>
      <c r="AN162" s="76"/>
      <c r="AO162" s="76"/>
      <c r="AP162" s="76"/>
      <c r="AQ162" s="76"/>
      <c r="AR162" s="76"/>
      <c r="AS162" s="592"/>
      <c r="AT162" s="1733"/>
      <c r="AU162" s="1733"/>
      <c r="AV162" s="76"/>
      <c r="AW162" s="76"/>
      <c r="AX162" s="76"/>
      <c r="AY162" s="76"/>
      <c r="AZ162" s="76"/>
      <c r="BA162" s="76"/>
      <c r="BB162" s="85"/>
      <c r="BC162" s="69"/>
      <c r="BD162" s="497"/>
      <c r="BE162" s="497"/>
      <c r="BF162" s="1196" t="s">
        <v>689</v>
      </c>
    </row>
    <row s="1642"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681</v>
      </c>
      <c r="P163" s="497"/>
      <c r="Q163" s="497"/>
      <c r="R163" s="497"/>
      <c r="S163" s="497"/>
      <c r="T163" s="805" cm="1" t="str">
        <f t="array" ref="T163:T163">T162</f>
        <v>false</v>
      </c>
      <c r="U163" s="1437"/>
      <c r="V163" s="1437"/>
      <c r="W163" s="1437"/>
      <c r="X163" s="1437"/>
      <c r="Y163" s="1437"/>
      <c r="Z163" s="1437"/>
      <c r="AA163" s="497"/>
      <c r="AB163" s="322" t="s">
        <v>690</v>
      </c>
      <c r="AC163" s="595" t="s">
        <v>691</v>
      </c>
      <c r="AD163" s="154"/>
      <c r="AE163" s="75"/>
      <c r="AF163" s="75"/>
      <c r="AG163" s="75"/>
      <c r="AH163" s="75"/>
      <c r="AI163" s="296"/>
      <c r="AJ163" s="1732"/>
      <c r="AK163" s="1732"/>
      <c r="AL163" s="75"/>
      <c r="AM163" s="75"/>
      <c r="AN163" s="75"/>
      <c r="AO163" s="75"/>
      <c r="AP163" s="75"/>
      <c r="AQ163" s="75"/>
      <c r="AR163" s="75"/>
      <c r="AS163" s="296"/>
      <c r="AT163" s="1732"/>
      <c r="AU163" s="1732"/>
      <c r="AV163" s="75"/>
      <c r="AW163" s="75"/>
      <c r="AX163" s="75"/>
      <c r="AY163" s="75"/>
      <c r="AZ163" s="75"/>
      <c r="BA163" s="75"/>
      <c r="BB163" s="75"/>
      <c r="BC163" s="80"/>
      <c r="BD163" s="497"/>
      <c r="BE163" s="497"/>
      <c r="BF163" s="1196" t="s">
        <v>692</v>
      </c>
    </row>
    <row customHeight="1" ht="11.115">
      <c r="E164" s="794">
        <v>11.4</v>
      </c>
      <c r="U164" s="172" t="s">
        <v>237</v>
      </c>
      <c r="V164" s="168" t="s">
        <v>693</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5" t="s">
        <v>694</v>
      </c>
      <c r="AC166" s="1455"/>
      <c r="AD166" s="1455"/>
      <c r="AE166" s="1456"/>
      <c r="AF166" s="1456"/>
      <c r="AG166" s="1456"/>
      <c r="AH166" s="1456"/>
      <c r="AI166" s="1456"/>
      <c r="AJ166" s="1456"/>
      <c r="AK166" s="1456"/>
      <c r="AL166" s="1456"/>
      <c r="AM166" s="1456"/>
      <c r="AN166" s="1456"/>
      <c r="AO166" s="1456"/>
      <c r="AP166" s="1456"/>
      <c r="AQ166" s="1456"/>
      <c r="AR166" s="1456"/>
      <c r="AS166" s="1456"/>
      <c r="AT166" s="1456"/>
      <c r="AU166" s="1456"/>
      <c r="AV166" s="1456"/>
      <c r="AW166" s="1456"/>
      <c r="AX166" s="1456"/>
      <c r="AY166" s="1456"/>
      <c r="AZ166" s="1456"/>
      <c r="BA166" s="1456"/>
      <c r="BB166" s="1456"/>
      <c r="BC166" s="1456"/>
    </row>
    <row customHeight="1" ht="14.625">
      <c r="E167" s="794">
        <v>15</v>
      </c>
      <c r="V167" s="176"/>
      <c r="AA167" s="919"/>
      <c r="AB167" s="1457"/>
      <c r="AC167" s="1458"/>
      <c r="AD167" s="1458"/>
      <c r="AE167" s="1458"/>
      <c r="AF167" s="1458"/>
      <c r="AG167" s="1458"/>
      <c r="AH167" s="1458"/>
      <c r="AI167" s="1458"/>
      <c r="AJ167" s="1782"/>
      <c r="AK167" s="1782"/>
      <c r="AL167" s="1782"/>
      <c r="AM167" s="1782"/>
      <c r="AN167" s="1782"/>
      <c r="AO167" s="1782"/>
      <c r="AP167" s="1782"/>
      <c r="AQ167" s="1782"/>
      <c r="AR167" s="1782"/>
      <c r="AS167" s="1458"/>
      <c r="AT167" s="1782"/>
      <c r="AU167" s="1782"/>
      <c r="AV167" s="1782"/>
      <c r="AW167" s="1782"/>
      <c r="AX167" s="1782"/>
      <c r="AY167" s="1782"/>
      <c r="AZ167" s="1782"/>
      <c r="BA167" s="1782"/>
      <c r="BB167" s="1782"/>
      <c r="BC167" s="1459"/>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235</v>
      </c>
      <c r="X168" s="1437"/>
      <c r="Y168" s="1437"/>
      <c r="Z168" s="1437"/>
      <c r="AA168" s="915" t="s">
        <v>219</v>
      </c>
      <c r="AB168" s="1784"/>
      <c r="AC168" s="1782"/>
      <c r="AD168" s="1782"/>
      <c r="AE168" s="1782"/>
      <c r="AF168" s="1782"/>
      <c r="AG168" s="1782"/>
      <c r="AH168" s="1782"/>
      <c r="AI168" s="1458"/>
      <c r="AJ168" s="1782"/>
      <c r="AK168" s="1782"/>
      <c r="AL168" s="1782"/>
      <c r="AM168" s="1782"/>
      <c r="AN168" s="1782"/>
      <c r="AO168" s="1782"/>
      <c r="AP168" s="1782"/>
      <c r="AQ168" s="1782"/>
      <c r="AR168" s="1782"/>
      <c r="AS168" s="1458"/>
      <c r="AT168" s="1782"/>
      <c r="AU168" s="1782"/>
      <c r="AV168" s="1782"/>
      <c r="AW168" s="1782"/>
      <c r="AX168" s="1782"/>
      <c r="AY168" s="1782"/>
      <c r="AZ168" s="1782"/>
      <c r="BA168" s="1782"/>
      <c r="BB168" s="1782"/>
      <c r="BC168" s="1785"/>
      <c r="BD168" s="497"/>
      <c r="BE168" s="497"/>
      <c r="BF168" s="1146"/>
    </row>
    <row customHeight="1" ht="14.625">
      <c r="E169" s="794">
        <v>15</v>
      </c>
      <c r="W169" s="168" t="s">
        <v>236</v>
      </c>
      <c r="AB169" s="1453" t="s">
        <v>695</v>
      </c>
      <c r="AC169" s="1454"/>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517638-44D9-3AC6-B658-3BFEB82437CF}" mc:Ignorable="x14ac xr xr2 xr3">
  <sheetPr>
    <tabColor theme="6" tint="0.4"/>
    <outlinePr summaryRight="0" summaryBelow="0"/>
  </sheetPr>
  <dimension ref="A1:BF48"/>
  <sheetViews>
    <sheetView showGridLines="0" workbookViewId="0">
      <pane xSplit="30" ySplit="27" topLeftCell="AE35" activePane="bottomRight" state="frozen"/>
      <selection pane="bottomLeft" activeCell="A28" sqref="A28"/>
      <selection pane="topRight" activeCell="AE1" sqref="AE1"/>
      <selection pane="bottomRight" activeCell="AS39" sqref="AS39"/>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372</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Ульяновская область / 2026 / ООО "НИИАР-ГЕНЕРАЦИЯ" (ИНН:7329008990, КПП:732901001)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35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57"/>
    </row>
    <row s="212" customFormat="1" customHeight="1" ht="14.625">
      <c r="A25" s="329"/>
      <c r="B25" s="789"/>
      <c r="C25" s="168"/>
      <c r="D25" s="168"/>
      <c r="E25" s="800">
        <v>15</v>
      </c>
      <c r="F25" s="168"/>
      <c r="T25" s="168"/>
      <c r="U25" s="168"/>
      <c r="V25" s="176"/>
      <c r="W25" s="168"/>
      <c r="X25" s="168"/>
      <c r="Y25" s="168"/>
      <c r="Z25" s="168"/>
      <c r="AB25" s="1450" t="s">
        <v>385</v>
      </c>
      <c r="AC25" s="1451" t="s">
        <v>427</v>
      </c>
      <c r="AD25" s="1441" t="s">
        <v>428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582</v>
      </c>
      <c r="BF25" s="1168"/>
    </row>
    <row s="212" customFormat="1" customHeight="1" ht="68.1525">
      <c r="A26" s="329"/>
      <c r="B26" s="789"/>
      <c r="C26" s="168"/>
      <c r="D26" s="168"/>
      <c r="E26" s="800">
        <v>69.9</v>
      </c>
      <c r="F26" s="168"/>
      <c r="T26" s="168"/>
      <c r="U26" s="168"/>
      <c r="V26" s="176"/>
      <c r="W26" s="168"/>
      <c r="X26" s="168"/>
      <c r="Y26" s="168"/>
      <c r="Z26" s="168"/>
      <c r="AB26" s="1450"/>
      <c r="AC26" s="1452"/>
      <c r="AD26" s="1441"/>
      <c r="AE26" s="167" t="s">
        <v>401</v>
      </c>
      <c r="AF26" s="1354" t="s">
        <v>583</v>
      </c>
      <c r="AG26" s="167" t="s">
        <v>584</v>
      </c>
      <c r="AH26" s="167" t="s">
        <v>401</v>
      </c>
      <c r="AI26" s="1355" t="s">
        <v>402</v>
      </c>
      <c r="AJ26" s="1355" t="s">
        <v>402</v>
      </c>
      <c r="AK26" s="1355" t="s">
        <v>402</v>
      </c>
      <c r="AL26" s="1355" t="s">
        <v>402</v>
      </c>
      <c r="AM26" s="1355" t="s">
        <v>402</v>
      </c>
      <c r="AN26" s="1355" t="s">
        <v>402</v>
      </c>
      <c r="AO26" s="1355" t="s">
        <v>402</v>
      </c>
      <c r="AP26" s="1355" t="s">
        <v>402</v>
      </c>
      <c r="AQ26" s="1355" t="s">
        <v>402</v>
      </c>
      <c r="AR26" s="1355" t="s">
        <v>402</v>
      </c>
      <c r="AS26" s="410" t="s">
        <v>401</v>
      </c>
      <c r="AT26" s="410" t="s">
        <v>401</v>
      </c>
      <c r="AU26" s="410" t="s">
        <v>401</v>
      </c>
      <c r="AV26" s="410" t="s">
        <v>401</v>
      </c>
      <c r="AW26" s="410" t="s">
        <v>401</v>
      </c>
      <c r="AX26" s="410" t="s">
        <v>401</v>
      </c>
      <c r="AY26" s="410" t="s">
        <v>401</v>
      </c>
      <c r="AZ26" s="410" t="s">
        <v>401</v>
      </c>
      <c r="BA26" s="410" t="s">
        <v>401</v>
      </c>
      <c r="BB26" s="410" t="s">
        <v>401</v>
      </c>
      <c r="BC26" s="1449"/>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311</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337</v>
      </c>
      <c r="AC29" s="566" t="s">
        <v>696</v>
      </c>
      <c r="AD29" s="167" t="s">
        <v>586</v>
      </c>
      <c r="AE29" s="78"/>
      <c r="AF29" s="78"/>
      <c r="AG29" s="78"/>
      <c r="AH29" s="78"/>
      <c r="AI29" s="482"/>
      <c r="AJ29" s="1737"/>
      <c r="AK29" s="1737"/>
      <c r="AL29" s="78"/>
      <c r="AM29" s="78"/>
      <c r="AN29" s="78"/>
      <c r="AO29" s="78"/>
      <c r="AP29" s="78"/>
      <c r="AQ29" s="78"/>
      <c r="AR29" s="78"/>
      <c r="AS29" s="482"/>
      <c r="AT29" s="1737"/>
      <c r="AU29" s="1737"/>
      <c r="AV29" s="78"/>
      <c r="AW29" s="78"/>
      <c r="AX29" s="78"/>
      <c r="AY29" s="78"/>
      <c r="AZ29" s="78"/>
      <c r="BA29" s="78"/>
      <c r="BB29" s="78"/>
      <c r="BC29" s="74"/>
      <c r="BF29" s="1208" t="s">
        <v>697</v>
      </c>
    </row>
    <row customHeight="1" ht="16.672500000000003" hidden="1">
      <c r="E30" s="794">
        <v>17.1</v>
      </c>
      <c r="F30" s="920" cm="1" t="str">
        <f t="array" ref="F30:F30">OFFSET(G30,-1,-1)</f>
        <v>0</v>
      </c>
      <c r="T30" s="805" cm="1" t="str">
        <f t="array" ref="T30:T30">T29</f>
        <v>false</v>
      </c>
      <c r="AB30" s="565" t="s">
        <v>440</v>
      </c>
      <c r="AC30" s="566" t="s">
        <v>698</v>
      </c>
      <c r="AD30" s="167" t="s">
        <v>586</v>
      </c>
      <c r="AE30" s="86"/>
      <c r="AF30" s="86"/>
      <c r="AG30" s="86"/>
      <c r="AH30" s="86"/>
      <c r="AI30" s="481"/>
      <c r="AJ30" s="1787"/>
      <c r="AK30" s="1787"/>
      <c r="AL30" s="86"/>
      <c r="AM30" s="86"/>
      <c r="AN30" s="86"/>
      <c r="AO30" s="86"/>
      <c r="AP30" s="86"/>
      <c r="AQ30" s="86"/>
      <c r="AR30" s="86"/>
      <c r="AS30" s="481"/>
      <c r="AT30" s="1787"/>
      <c r="AU30" s="1787"/>
      <c r="AV30" s="86"/>
      <c r="AW30" s="86"/>
      <c r="AX30" s="86"/>
      <c r="AY30" s="86"/>
      <c r="AZ30" s="86"/>
      <c r="BA30" s="86"/>
      <c r="BB30" s="86"/>
      <c r="BC30" s="74"/>
      <c r="BF30" s="1208" t="s">
        <v>699</v>
      </c>
    </row>
    <row customHeight="1" ht="16.672500000000003" hidden="1">
      <c r="E31" s="794">
        <v>17.1</v>
      </c>
      <c r="F31" s="920" cm="1" t="str">
        <f t="array" ref="F31:F31">OFFSET(G31,-1,-1)</f>
        <v>0</v>
      </c>
      <c r="T31" s="805" cm="1" t="str">
        <f t="array" ref="T31:T31">T30</f>
        <v>false</v>
      </c>
      <c r="AB31" s="485" t="s">
        <v>443</v>
      </c>
      <c r="AC31" s="501" t="s">
        <v>700</v>
      </c>
      <c r="AD31" s="167" t="s">
        <v>485</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701</v>
      </c>
    </row>
    <row customHeight="1" ht="16.672500000000003" hidden="1">
      <c r="E32" s="794">
        <v>17.1</v>
      </c>
      <c r="F32" s="920" cm="1" t="str">
        <f t="array" ref="F32:F32">OFFSET(G32,-1,-1)</f>
        <v>0</v>
      </c>
      <c r="T32" s="805" cm="1" t="str">
        <f t="array" ref="T32:T32">T31</f>
        <v>false</v>
      </c>
      <c r="AB32" s="479" t="s">
        <v>608</v>
      </c>
      <c r="AC32" s="567" t="s">
        <v>702</v>
      </c>
      <c r="AD32" s="167" t="s">
        <v>586</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703</v>
      </c>
    </row>
    <row customHeight="1" ht="16.672500000000003" hidden="1">
      <c r="E33" s="794">
        <v>17.1</v>
      </c>
      <c r="F33" s="920" cm="1" t="str">
        <f t="array" ref="F33:F33">OFFSET(G33,-1,-1)</f>
        <v>0</v>
      </c>
      <c r="T33" s="805" cm="1" t="str">
        <f t="array" ref="T33:T33">T32</f>
        <v>false</v>
      </c>
      <c r="AB33" s="484" t="s">
        <v>704</v>
      </c>
      <c r="AC33" s="550" t="s">
        <v>705</v>
      </c>
      <c r="AD33" s="167" t="s">
        <v>586</v>
      </c>
      <c r="AE33" s="78"/>
      <c r="AF33" s="78"/>
      <c r="AG33" s="78"/>
      <c r="AH33" s="78"/>
      <c r="AI33" s="482"/>
      <c r="AJ33" s="1737"/>
      <c r="AK33" s="1737"/>
      <c r="AL33" s="78"/>
      <c r="AM33" s="78"/>
      <c r="AN33" s="78"/>
      <c r="AO33" s="78"/>
      <c r="AP33" s="78"/>
      <c r="AQ33" s="78"/>
      <c r="AR33" s="78"/>
      <c r="AS33" s="482"/>
      <c r="AT33" s="1737"/>
      <c r="AU33" s="1737"/>
      <c r="AV33" s="78"/>
      <c r="AW33" s="78"/>
      <c r="AX33" s="78"/>
      <c r="AY33" s="78"/>
      <c r="AZ33" s="78"/>
      <c r="BA33" s="78"/>
      <c r="BB33" s="78"/>
      <c r="BC33" s="74"/>
      <c r="BF33" s="1208" t="s">
        <v>706</v>
      </c>
    </row>
    <row customHeight="1" ht="16.672500000000003" hidden="1">
      <c r="E34" s="794">
        <v>17.1</v>
      </c>
      <c r="F34" s="920" cm="1" t="str">
        <f t="array" ref="F34:F34">OFFSET(G34,-1,-1)</f>
        <v>0</v>
      </c>
      <c r="T34" s="805" cm="1" t="str">
        <f t="array" ref="T34:T34">T33</f>
        <v>false</v>
      </c>
      <c r="AB34" s="484" t="s">
        <v>707</v>
      </c>
      <c r="AC34" s="550" t="s">
        <v>634</v>
      </c>
      <c r="AD34" s="167" t="s">
        <v>586</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708</v>
      </c>
    </row>
    <row s="1642" customFormat="1" customHeight="1" ht="10.5">
      <c r="A35" s="1184"/>
      <c r="B35" s="925"/>
      <c r="C35" s="1437"/>
      <c r="D35" s="1437"/>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37"/>
      <c r="V35" s="172" cm="1" t="str">
        <f t="array" ref="V35:V35">'Баланс Пр'!$AB$96</f>
        <v>Тариф 1 (Теплоснабжение) - Тарифы на услуги по передаче тепловой энергии, теплоносителя (Не определено)</v>
      </c>
      <c r="W35" s="1437"/>
      <c r="X35" s="172" t="s">
        <v>337</v>
      </c>
      <c r="Y35" s="1437"/>
      <c r="Z35" s="1437"/>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42" customFormat="1" customHeight="1" ht="16.5">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true</v>
      </c>
      <c r="U36" s="1437"/>
      <c r="V36" s="1437"/>
      <c r="W36" s="1437"/>
      <c r="X36" s="1437"/>
      <c r="Y36" s="1437"/>
      <c r="Z36" s="1437"/>
      <c r="AA36" s="497"/>
      <c r="AB36" s="565" t="s">
        <v>337</v>
      </c>
      <c r="AC36" s="566" t="s">
        <v>696</v>
      </c>
      <c r="AD36" s="167" t="s">
        <v>586</v>
      </c>
      <c r="AE36" s="1790">
        <v>422511.01</v>
      </c>
      <c r="AF36" s="1790">
        <v>431790</v>
      </c>
      <c r="AG36" s="1790">
        <v>431790</v>
      </c>
      <c r="AH36" s="1790">
        <v>422511.01</v>
      </c>
      <c r="AI36" s="482">
        <v>432677.83797</v>
      </c>
      <c r="AJ36" s="1737"/>
      <c r="AK36" s="1737"/>
      <c r="AL36" s="1790"/>
      <c r="AM36" s="1790"/>
      <c r="AN36" s="1790"/>
      <c r="AO36" s="1790"/>
      <c r="AP36" s="1790"/>
      <c r="AQ36" s="1790"/>
      <c r="AR36" s="1790"/>
      <c r="AS36" s="482">
        <v>422511.01</v>
      </c>
      <c r="AT36" s="1737"/>
      <c r="AU36" s="1737"/>
      <c r="AV36" s="1790"/>
      <c r="AW36" s="1790"/>
      <c r="AX36" s="1790"/>
      <c r="AY36" s="1790"/>
      <c r="AZ36" s="1790"/>
      <c r="BA36" s="1790"/>
      <c r="BB36" s="1790"/>
      <c r="BC36" s="1792"/>
      <c r="BD36" s="497"/>
      <c r="BE36" s="497"/>
      <c r="BF36" s="1208" t="s">
        <v>697</v>
      </c>
    </row>
    <row s="1642" customFormat="1" customHeight="1" ht="16.5">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true</v>
      </c>
      <c r="U37" s="1437"/>
      <c r="V37" s="1437"/>
      <c r="W37" s="1437"/>
      <c r="X37" s="1437"/>
      <c r="Y37" s="1437"/>
      <c r="Z37" s="1437"/>
      <c r="AA37" s="497"/>
      <c r="AB37" s="565" t="s">
        <v>440</v>
      </c>
      <c r="AC37" s="566" t="s">
        <v>698</v>
      </c>
      <c r="AD37" s="167" t="s">
        <v>586</v>
      </c>
      <c r="AE37" s="1793">
        <v>91362.34</v>
      </c>
      <c r="AF37" s="1793">
        <v>102969.52</v>
      </c>
      <c r="AG37" s="1793">
        <v>102969.52</v>
      </c>
      <c r="AH37" s="1793">
        <v>91362.34</v>
      </c>
      <c r="AI37" s="481">
        <v>108475</v>
      </c>
      <c r="AJ37" s="1787"/>
      <c r="AK37" s="1787"/>
      <c r="AL37" s="1793"/>
      <c r="AM37" s="1793"/>
      <c r="AN37" s="1793"/>
      <c r="AO37" s="1793"/>
      <c r="AP37" s="1793"/>
      <c r="AQ37" s="1793"/>
      <c r="AR37" s="1793"/>
      <c r="AS37" s="481">
        <v>91362.34</v>
      </c>
      <c r="AT37" s="1787"/>
      <c r="AU37" s="1787"/>
      <c r="AV37" s="1793"/>
      <c r="AW37" s="1793"/>
      <c r="AX37" s="1793"/>
      <c r="AY37" s="1793"/>
      <c r="AZ37" s="1793"/>
      <c r="BA37" s="1793"/>
      <c r="BB37" s="1793"/>
      <c r="BC37" s="1792"/>
      <c r="BD37" s="497"/>
      <c r="BE37" s="497"/>
      <c r="BF37" s="1208" t="s">
        <v>699</v>
      </c>
    </row>
    <row s="1642" customFormat="1" customHeight="1" ht="16.5">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true</v>
      </c>
      <c r="U38" s="1437"/>
      <c r="V38" s="1437"/>
      <c r="W38" s="1437"/>
      <c r="X38" s="1437"/>
      <c r="Y38" s="1437"/>
      <c r="Z38" s="1437"/>
      <c r="AA38" s="497"/>
      <c r="AB38" s="485" t="s">
        <v>443</v>
      </c>
      <c r="AC38" s="501" t="s">
        <v>700</v>
      </c>
      <c r="AD38" s="167" t="s">
        <v>485</v>
      </c>
      <c r="AE38" s="568">
        <f>IF(AE36=0,0,AE37/AE36)</f>
        <v>0.216236589905669</v>
      </c>
      <c r="AF38" s="568">
        <f>IF(AF36=0,0,AF37/AF36)</f>
        <v>0.238471293916024</v>
      </c>
      <c r="AG38" s="568">
        <f>IF(AG36=0,0,AG37/AG36)</f>
        <v>0.238471293916024</v>
      </c>
      <c r="AH38" s="568">
        <f>IF(AH36=0,0,AH37/AH36)</f>
        <v>0.216236589905669</v>
      </c>
      <c r="AI38" s="568">
        <f>IF(AI36=0,0,AI37/AI36)</f>
        <v>0.250706161676626</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0.216236589905669</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792"/>
      <c r="BD38" s="497"/>
      <c r="BE38" s="497"/>
      <c r="BF38" s="1208" t="s">
        <v>701</v>
      </c>
    </row>
    <row s="1642" customFormat="1" customHeight="1" ht="16.5">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true</v>
      </c>
      <c r="U39" s="1437"/>
      <c r="V39" s="1437"/>
      <c r="W39" s="1437"/>
      <c r="X39" s="1437"/>
      <c r="Y39" s="1437"/>
      <c r="Z39" s="1437"/>
      <c r="AA39" s="497"/>
      <c r="AB39" s="479" t="s">
        <v>608</v>
      </c>
      <c r="AC39" s="567" t="s">
        <v>702</v>
      </c>
      <c r="AD39" s="167" t="s">
        <v>586</v>
      </c>
      <c r="AE39" s="483">
        <f>AE36-AE37</f>
        <v>331148.67</v>
      </c>
      <c r="AF39" s="483">
        <f>AF36-AF37</f>
        <v>328820.48</v>
      </c>
      <c r="AG39" s="483">
        <f>AG36-AG37</f>
        <v>328820.48</v>
      </c>
      <c r="AH39" s="483">
        <f>AH36-AH37</f>
        <v>331148.67</v>
      </c>
      <c r="AI39" s="483">
        <f>AI36-AI37</f>
        <v>324202.83797</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331148.67</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1792"/>
      <c r="BD39" s="497"/>
      <c r="BE39" s="497"/>
      <c r="BF39" s="1208" t="s">
        <v>703</v>
      </c>
    </row>
    <row s="1642" customFormat="1" customHeight="1" ht="16.5">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true</v>
      </c>
      <c r="U40" s="1437"/>
      <c r="V40" s="1437"/>
      <c r="W40" s="1437"/>
      <c r="X40" s="1437"/>
      <c r="Y40" s="1437"/>
      <c r="Z40" s="1437"/>
      <c r="AA40" s="497"/>
      <c r="AB40" s="484" t="s">
        <v>704</v>
      </c>
      <c r="AC40" s="550" t="s">
        <v>705</v>
      </c>
      <c r="AD40" s="167" t="s">
        <v>586</v>
      </c>
      <c r="AE40" s="1790"/>
      <c r="AF40" s="1790"/>
      <c r="AG40" s="1790"/>
      <c r="AH40" s="1790"/>
      <c r="AI40" s="482"/>
      <c r="AJ40" s="1737"/>
      <c r="AK40" s="1737"/>
      <c r="AL40" s="1790"/>
      <c r="AM40" s="1790"/>
      <c r="AN40" s="1790"/>
      <c r="AO40" s="1790"/>
      <c r="AP40" s="1790"/>
      <c r="AQ40" s="1790"/>
      <c r="AR40" s="1790"/>
      <c r="AS40" s="482"/>
      <c r="AT40" s="1737"/>
      <c r="AU40" s="1737"/>
      <c r="AV40" s="1790"/>
      <c r="AW40" s="1790"/>
      <c r="AX40" s="1790"/>
      <c r="AY40" s="1790"/>
      <c r="AZ40" s="1790"/>
      <c r="BA40" s="1790"/>
      <c r="BB40" s="1790"/>
      <c r="BC40" s="1792"/>
      <c r="BD40" s="497"/>
      <c r="BE40" s="497"/>
      <c r="BF40" s="1208" t="s">
        <v>706</v>
      </c>
    </row>
    <row s="1642" customFormat="1" customHeight="1" ht="16.5">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true</v>
      </c>
      <c r="U41" s="1437"/>
      <c r="V41" s="1437"/>
      <c r="W41" s="1437"/>
      <c r="X41" s="1437"/>
      <c r="Y41" s="1437"/>
      <c r="Z41" s="1437"/>
      <c r="AA41" s="497"/>
      <c r="AB41" s="484" t="s">
        <v>707</v>
      </c>
      <c r="AC41" s="550" t="s">
        <v>634</v>
      </c>
      <c r="AD41" s="167" t="s">
        <v>586</v>
      </c>
      <c r="AE41" s="523">
        <f>AE39-AE40</f>
        <v>331148.67</v>
      </c>
      <c r="AF41" s="523">
        <f>AF39-AF40</f>
        <v>328820.48</v>
      </c>
      <c r="AG41" s="523">
        <f>AG39-AG40</f>
        <v>328820.48</v>
      </c>
      <c r="AH41" s="523">
        <f>AH39-AH40</f>
        <v>331148.67</v>
      </c>
      <c r="AI41" s="523">
        <f>AI39-AI40</f>
        <v>324202.83797</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331148.67</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1792"/>
      <c r="BD41" s="497"/>
      <c r="BE41" s="497"/>
      <c r="BF41" s="1208" t="s">
        <v>708</v>
      </c>
    </row>
    <row customHeight="1" ht="11.115">
      <c r="E42" s="794">
        <v>11.4</v>
      </c>
      <c r="U42" s="172" t="s">
        <v>237</v>
      </c>
      <c r="V42" s="168" t="s">
        <v>709</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5" t="s">
        <v>694</v>
      </c>
      <c r="AC44" s="1455"/>
      <c r="AD44" s="1455"/>
      <c r="AE44" s="1456"/>
      <c r="AF44" s="1456"/>
      <c r="AG44" s="1456"/>
      <c r="AH44" s="1456"/>
      <c r="AI44" s="1456"/>
      <c r="AJ44" s="1456"/>
      <c r="AK44" s="1456"/>
      <c r="AL44" s="1456"/>
      <c r="AM44" s="1456"/>
      <c r="AN44" s="1456"/>
      <c r="AO44" s="1456"/>
      <c r="AP44" s="1456"/>
      <c r="AQ44" s="1456"/>
      <c r="AR44" s="1456"/>
      <c r="AS44" s="1456"/>
      <c r="AT44" s="1456"/>
      <c r="AU44" s="1456"/>
      <c r="AV44" s="1456"/>
      <c r="AW44" s="1456"/>
      <c r="AX44" s="1456"/>
      <c r="AY44" s="1456"/>
      <c r="AZ44" s="1456"/>
      <c r="BA44" s="1456"/>
      <c r="BB44" s="1456"/>
      <c r="BC44" s="1456"/>
    </row>
    <row customHeight="1" ht="14.625">
      <c r="E45" s="794">
        <v>15</v>
      </c>
      <c r="V45" s="176"/>
      <c r="AA45" s="919"/>
      <c r="AB45" s="1457"/>
      <c r="AC45" s="1458"/>
      <c r="AD45" s="1458"/>
      <c r="AE45" s="1458"/>
      <c r="AF45" s="1458"/>
      <c r="AG45" s="1458"/>
      <c r="AH45" s="1458"/>
      <c r="AI45" s="1458"/>
      <c r="AJ45" s="1782"/>
      <c r="AK45" s="1782"/>
      <c r="AL45" s="1782"/>
      <c r="AM45" s="1782"/>
      <c r="AN45" s="1782"/>
      <c r="AO45" s="1782"/>
      <c r="AP45" s="1782"/>
      <c r="AQ45" s="1782"/>
      <c r="AR45" s="1782"/>
      <c r="AS45" s="1458"/>
      <c r="AT45" s="1782"/>
      <c r="AU45" s="1782"/>
      <c r="AV45" s="1782"/>
      <c r="AW45" s="1782"/>
      <c r="AX45" s="1782"/>
      <c r="AY45" s="1782"/>
      <c r="AZ45" s="1782"/>
      <c r="BA45" s="1782"/>
      <c r="BB45" s="1782"/>
      <c r="BC45" s="1459"/>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235</v>
      </c>
      <c r="X46" s="1437"/>
      <c r="Y46" s="1437"/>
      <c r="Z46" s="1437"/>
      <c r="AA46" s="915" t="s">
        <v>219</v>
      </c>
      <c r="AB46" s="1784"/>
      <c r="AC46" s="1782"/>
      <c r="AD46" s="1782"/>
      <c r="AE46" s="1782"/>
      <c r="AF46" s="1782"/>
      <c r="AG46" s="1782"/>
      <c r="AH46" s="1782"/>
      <c r="AI46" s="1458"/>
      <c r="AJ46" s="1782"/>
      <c r="AK46" s="1782"/>
      <c r="AL46" s="1782"/>
      <c r="AM46" s="1782"/>
      <c r="AN46" s="1782"/>
      <c r="AO46" s="1782"/>
      <c r="AP46" s="1782"/>
      <c r="AQ46" s="1782"/>
      <c r="AR46" s="1782"/>
      <c r="AS46" s="1458"/>
      <c r="AT46" s="1782"/>
      <c r="AU46" s="1782"/>
      <c r="AV46" s="1782"/>
      <c r="AW46" s="1782"/>
      <c r="AX46" s="1782"/>
      <c r="AY46" s="1782"/>
      <c r="AZ46" s="1782"/>
      <c r="BA46" s="1782"/>
      <c r="BB46" s="1782"/>
      <c r="BC46" s="1785"/>
      <c r="BD46" s="497"/>
      <c r="BE46" s="497"/>
      <c r="BF46" s="1218"/>
    </row>
    <row customHeight="1" ht="14.625">
      <c r="E47" s="794">
        <v>15</v>
      </c>
      <c r="W47" s="168" t="s">
        <v>236</v>
      </c>
      <c r="AB47" s="1453" t="s">
        <v>695</v>
      </c>
      <c r="AC47" s="1454"/>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1E283-F2A3-3638-3678-5430A4DE21BD}" mc:Ignorable="x14ac xr xr2 xr3">
  <sheetPr>
    <tabColor rgb="FFFFC000"/>
    <outlinePr summaryBelow="0"/>
  </sheetPr>
  <dimension ref="A1:DB250"/>
  <sheetViews>
    <sheetView showGridLines="0" workbookViewId="0">
      <pane xSplit="33" ySplit="26" topLeftCell="AH17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98" width="3.57421875" hidden="1" customWidth="1"/>
    <col min="2" max="2" style="925" width="4.7109375" hidden="1" customWidth="1"/>
    <col min="3" max="4" style="1498" width="3.57421875" hidden="1" customWidth="1"/>
    <col min="5" max="5" style="923" width="8.421875" hidden="1" customWidth="1"/>
    <col min="6" max="6" style="1498" width="6.421875" hidden="1" customWidth="1"/>
    <col min="7" max="11" style="963" width="3.57421875" hidden="1" customWidth="1"/>
    <col min="12" max="12" style="963" width="7.7109375" hidden="1" customWidth="1"/>
    <col min="13" max="17" style="963" width="3.57421875" hidden="1" customWidth="1"/>
    <col min="18" max="18" style="1498" width="7.7109375" hidden="1" customWidth="1"/>
    <col min="19" max="19" style="920" width="7.7109375" hidden="1" customWidth="1"/>
    <col min="20" max="20" style="1498" width="8.140625" hidden="1" customWidth="1"/>
    <col min="21" max="21" style="1498" width="8.003906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98" customFormat="1" customHeight="1" ht="12" hidden="1">
      <c r="B1" s="785"/>
      <c r="E1" s="785"/>
      <c r="F1" s="816" t="s">
        <v>83</v>
      </c>
      <c r="G1" s="733"/>
      <c r="H1" s="733"/>
      <c r="I1" s="733"/>
      <c r="J1" s="733"/>
      <c r="K1" s="733"/>
      <c r="L1" s="733"/>
      <c r="M1" s="733"/>
      <c r="N1" s="733"/>
      <c r="O1" s="733"/>
      <c r="P1" s="733"/>
      <c r="Q1" s="733"/>
      <c r="S1" s="947" t="s">
        <v>710</v>
      </c>
      <c r="T1" s="947" t="s">
        <v>711</v>
      </c>
      <c r="U1" s="805" t="s">
        <v>86</v>
      </c>
      <c r="V1" s="805" t="s">
        <v>91</v>
      </c>
      <c r="W1" s="805" t="s">
        <v>87</v>
      </c>
      <c r="X1" s="805" t="s">
        <v>88</v>
      </c>
      <c r="Y1" s="805" t="s">
        <v>89</v>
      </c>
      <c r="Z1" s="805" t="s">
        <v>93</v>
      </c>
      <c r="AC1" s="816" t="s">
        <v>90</v>
      </c>
      <c r="AD1" s="816" t="s">
        <v>371</v>
      </c>
      <c r="AE1" s="816" t="s">
        <v>92</v>
      </c>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1498"/>
      <c r="CF1" s="1498"/>
      <c r="CG1" s="1498"/>
      <c r="CH1" s="1498"/>
      <c r="CI1" s="1498"/>
      <c r="CJ1" s="1498"/>
      <c r="CK1" s="1498"/>
      <c r="CL1" s="1498"/>
      <c r="CM1" s="1498"/>
      <c r="CN1" s="1498"/>
      <c r="CO1" s="1498"/>
      <c r="CP1" s="1498"/>
      <c r="CQ1" s="1498"/>
      <c r="CR1" s="1498"/>
      <c r="CS1" s="1498"/>
      <c r="CW1" s="1171" t="s">
        <v>372</v>
      </c>
      <c r="CX1" s="1170" t="s">
        <v>373</v>
      </c>
      <c r="CY1" s="1170" t="s">
        <v>374</v>
      </c>
      <c r="CZ1" s="1170" t="s">
        <v>712</v>
      </c>
      <c r="DA1" s="1173" t="s">
        <v>377</v>
      </c>
      <c r="DB1" s="1173" t="s">
        <v>378</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98" customFormat="1" customHeight="1" ht="12" hidden="1">
      <c r="B3" s="785"/>
      <c r="E3" s="785"/>
      <c r="G3" s="733"/>
      <c r="H3" s="733"/>
      <c r="I3" s="733"/>
      <c r="J3" s="733"/>
      <c r="K3" s="733"/>
      <c r="L3" s="733"/>
      <c r="M3" s="733"/>
      <c r="N3" s="733"/>
      <c r="O3" s="733"/>
      <c r="P3" s="733"/>
      <c r="Q3" s="733"/>
      <c r="S3" s="920"/>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98"/>
      <c r="CE3" s="1498"/>
      <c r="CF3" s="1498"/>
      <c r="CG3" s="1498"/>
      <c r="CH3" s="1498"/>
      <c r="CI3" s="1498"/>
      <c r="CJ3" s="1498"/>
      <c r="CK3" s="1498"/>
      <c r="CL3" s="1498"/>
      <c r="CM3" s="1498"/>
      <c r="CN3" s="1498"/>
      <c r="CO3" s="1498"/>
      <c r="CP3" s="1498"/>
      <c r="CQ3" s="1498"/>
      <c r="CR3" s="1498"/>
      <c r="CS3" s="1498"/>
      <c r="CW3" s="1171"/>
      <c r="CX3" s="1170"/>
      <c r="CY3" s="1170"/>
      <c r="CZ3" s="1170"/>
      <c r="DA3" s="1173"/>
      <c r="DB3" s="1173"/>
    </row>
    <row s="1498" customFormat="1" customHeight="1" ht="12" hidden="1">
      <c r="B4" s="785"/>
      <c r="E4" s="785"/>
      <c r="G4" s="733"/>
      <c r="H4" s="733"/>
      <c r="I4" s="733"/>
      <c r="J4" s="733"/>
      <c r="K4" s="733"/>
      <c r="L4" s="733"/>
      <c r="M4" s="733"/>
      <c r="N4" s="733"/>
      <c r="O4" s="733"/>
      <c r="P4" s="733"/>
      <c r="Q4" s="733"/>
      <c r="S4" s="920"/>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98"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424</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425</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426</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383</v>
      </c>
      <c r="B12" s="1152"/>
      <c r="E12" s="1152"/>
      <c r="G12" s="1172"/>
      <c r="H12" s="1172"/>
      <c r="I12" s="1172"/>
      <c r="J12" s="1172"/>
      <c r="K12" s="1172"/>
      <c r="L12" s="1172"/>
      <c r="M12" s="1172"/>
      <c r="N12" s="1172"/>
      <c r="O12" s="1172"/>
      <c r="P12" s="1172"/>
      <c r="Q12" s="1172"/>
      <c r="S12" s="1161"/>
      <c r="AE12" s="1170" t="s">
        <v>374</v>
      </c>
      <c r="AF12" s="1170" t="s">
        <v>712</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98" customFormat="1" customHeight="1" ht="12" hidden="1">
      <c r="B13" s="785"/>
      <c r="E13" s="794"/>
      <c r="G13" s="733"/>
      <c r="H13" s="733"/>
      <c r="I13" s="733"/>
      <c r="J13" s="733"/>
      <c r="K13" s="733"/>
      <c r="L13" s="733"/>
      <c r="M13" s="733"/>
      <c r="N13" s="733"/>
      <c r="O13" s="733"/>
      <c r="P13" s="733"/>
      <c r="Q13" s="733"/>
      <c r="S13" s="920"/>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98"/>
      <c r="CE13" s="1498"/>
      <c r="CF13" s="1498"/>
      <c r="CG13" s="1498"/>
      <c r="CH13" s="1498"/>
      <c r="CI13" s="1498"/>
      <c r="CJ13" s="1498"/>
      <c r="CK13" s="1498"/>
      <c r="CL13" s="1498"/>
      <c r="CM13" s="1498"/>
      <c r="CN13" s="1498"/>
      <c r="CO13" s="1498"/>
      <c r="CP13" s="1498"/>
      <c r="CQ13" s="1498"/>
      <c r="CR13" s="1498"/>
      <c r="CS13" s="1498"/>
      <c r="CW13" s="1171"/>
      <c r="CX13" s="1170"/>
      <c r="CY13" s="1170"/>
      <c r="CZ13" s="1170"/>
      <c r="DA13" s="1173"/>
      <c r="DB13" s="1173"/>
    </row>
    <row s="1498" customFormat="1" customHeight="1" ht="12" hidden="1">
      <c r="B14" s="785"/>
      <c r="E14" s="794"/>
      <c r="G14" s="733"/>
      <c r="H14" s="733"/>
      <c r="I14" s="733"/>
      <c r="J14" s="733"/>
      <c r="K14" s="733"/>
      <c r="L14" s="733"/>
      <c r="M14" s="733"/>
      <c r="N14" s="733"/>
      <c r="O14" s="733"/>
      <c r="P14" s="733"/>
      <c r="Q14" s="733"/>
      <c r="S14" s="920"/>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98"/>
      <c r="CE14" s="1498"/>
      <c r="CF14" s="1498"/>
      <c r="CG14" s="1498"/>
      <c r="CH14" s="1498"/>
      <c r="CI14" s="1498"/>
      <c r="CJ14" s="1498"/>
      <c r="CK14" s="1498"/>
      <c r="CL14" s="1498"/>
      <c r="CM14" s="1498"/>
      <c r="CN14" s="1498"/>
      <c r="CO14" s="1498"/>
      <c r="CP14" s="1498"/>
      <c r="CQ14" s="1498"/>
      <c r="CR14" s="1498"/>
      <c r="CS14" s="1498"/>
      <c r="CW14" s="1171"/>
      <c r="CX14" s="1170"/>
      <c r="CY14" s="1170"/>
      <c r="CZ14" s="1170"/>
      <c r="DA14" s="1173"/>
      <c r="DB14" s="1173"/>
    </row>
    <row s="1498" customFormat="1" customHeight="1" ht="12" hidden="1">
      <c r="B15" s="785"/>
      <c r="E15" s="794"/>
      <c r="G15" s="733"/>
      <c r="H15" s="733"/>
      <c r="I15" s="733"/>
      <c r="J15" s="733"/>
      <c r="K15" s="733"/>
      <c r="L15" s="733"/>
      <c r="M15" s="733"/>
      <c r="N15" s="733"/>
      <c r="O15" s="733"/>
      <c r="P15" s="733"/>
      <c r="Q15" s="733"/>
      <c r="S15" s="920"/>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98"/>
      <c r="CE15" s="1498"/>
      <c r="CF15" s="1498"/>
      <c r="CG15" s="1498"/>
      <c r="CH15" s="1498"/>
      <c r="CI15" s="1498"/>
      <c r="CJ15" s="1498"/>
      <c r="CK15" s="1498"/>
      <c r="CL15" s="1498"/>
      <c r="CM15" s="1498"/>
      <c r="CN15" s="1498"/>
      <c r="CO15" s="1498"/>
      <c r="CP15" s="1498"/>
      <c r="CQ15" s="1498"/>
      <c r="CR15" s="1498"/>
      <c r="CS15" s="1498"/>
      <c r="CW15" s="1171"/>
      <c r="CX15" s="1170"/>
      <c r="CY15" s="1170"/>
      <c r="CZ15" s="1170"/>
      <c r="DA15" s="1173"/>
      <c r="DB15" s="1173"/>
    </row>
    <row s="1498" customFormat="1" customHeight="1" ht="12" hidden="1">
      <c r="B16" s="785"/>
      <c r="E16" s="794"/>
      <c r="G16" s="733"/>
      <c r="H16" s="733"/>
      <c r="I16" s="733"/>
      <c r="J16" s="733"/>
      <c r="K16" s="733"/>
      <c r="L16" s="733"/>
      <c r="M16" s="733"/>
      <c r="N16" s="733"/>
      <c r="O16" s="733"/>
      <c r="P16" s="733"/>
      <c r="Q16" s="733"/>
      <c r="S16" s="920"/>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98"/>
      <c r="CE16" s="1498"/>
      <c r="CF16" s="1498"/>
      <c r="CG16" s="1498"/>
      <c r="CH16" s="1498"/>
      <c r="CI16" s="1498"/>
      <c r="CJ16" s="1498"/>
      <c r="CK16" s="1498"/>
      <c r="CL16" s="1498"/>
      <c r="CM16" s="1498"/>
      <c r="CN16" s="1498"/>
      <c r="CO16" s="1498"/>
      <c r="CP16" s="1498"/>
      <c r="CQ16" s="1498"/>
      <c r="CR16" s="1498"/>
      <c r="CS16" s="1498"/>
      <c r="CW16" s="1171"/>
      <c r="CX16" s="1170"/>
      <c r="CY16" s="1170"/>
      <c r="CZ16" s="1170"/>
      <c r="DA16" s="1173"/>
      <c r="DB16" s="1173"/>
    </row>
    <row s="1498" customFormat="1" customHeight="1" ht="12" hidden="1">
      <c r="B17" s="785"/>
      <c r="E17" s="794"/>
      <c r="G17" s="733"/>
      <c r="H17" s="733"/>
      <c r="I17" s="733"/>
      <c r="J17" s="733"/>
      <c r="K17" s="733"/>
      <c r="L17" s="733"/>
      <c r="M17" s="733"/>
      <c r="N17" s="733"/>
      <c r="O17" s="733"/>
      <c r="P17" s="733"/>
      <c r="Q17" s="733"/>
      <c r="S17" s="920"/>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98"/>
      <c r="CE17" s="1498"/>
      <c r="CF17" s="1498"/>
      <c r="CG17" s="1498"/>
      <c r="CH17" s="1498"/>
      <c r="CI17" s="1498"/>
      <c r="CJ17" s="1498"/>
      <c r="CK17" s="1498"/>
      <c r="CL17" s="1498"/>
      <c r="CM17" s="1498"/>
      <c r="CN17" s="1498"/>
      <c r="CO17" s="1498"/>
      <c r="CP17" s="1498"/>
      <c r="CQ17" s="1498"/>
      <c r="CR17" s="1498"/>
      <c r="CS17" s="1498"/>
      <c r="CW17" s="1171"/>
      <c r="CX17" s="1170"/>
      <c r="CY17" s="1170"/>
      <c r="CZ17" s="1170"/>
      <c r="DA17" s="1173"/>
      <c r="DB17" s="1173"/>
    </row>
    <row s="1498" customFormat="1" customHeight="1" ht="12" hidden="1">
      <c r="A18" s="1018" t="s">
        <v>482</v>
      </c>
      <c r="B18" s="785"/>
      <c r="E18" s="794"/>
      <c r="G18" s="733"/>
      <c r="H18" s="733"/>
      <c r="I18" s="733"/>
      <c r="J18" s="733"/>
      <c r="K18" s="733"/>
      <c r="L18" s="733"/>
      <c r="M18" s="733"/>
      <c r="N18" s="733"/>
      <c r="O18" s="733"/>
      <c r="P18" s="733"/>
      <c r="Q18" s="733"/>
      <c r="S18" s="920"/>
      <c r="AE18" s="156" t="s">
        <v>713</v>
      </c>
      <c r="AF18" s="156" t="s">
        <v>714</v>
      </c>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98"/>
      <c r="CE18" s="1498"/>
      <c r="CF18" s="1498"/>
      <c r="CG18" s="1498"/>
      <c r="CH18" s="1498"/>
      <c r="CI18" s="1498"/>
      <c r="CJ18" s="1498"/>
      <c r="CK18" s="1498"/>
      <c r="CL18" s="1498"/>
      <c r="CM18" s="1498"/>
      <c r="CN18" s="1498"/>
      <c r="CO18" s="1498"/>
      <c r="CP18" s="1498"/>
      <c r="CQ18" s="1498"/>
      <c r="CR18" s="1498"/>
      <c r="CS18" s="1498"/>
      <c r="CW18" s="1171"/>
      <c r="CX18" s="1170"/>
      <c r="CY18" s="1170"/>
      <c r="CZ18" s="1170"/>
      <c r="DA18" s="1173"/>
      <c r="DB18" s="1173"/>
    </row>
    <row s="1498" customFormat="1" customHeight="1" ht="12" hidden="1">
      <c r="B19" s="785"/>
      <c r="E19" s="794"/>
      <c r="G19" s="733"/>
      <c r="H19" s="733"/>
      <c r="I19" s="733"/>
      <c r="J19" s="733"/>
      <c r="K19" s="733"/>
      <c r="L19" s="733"/>
      <c r="M19" s="733"/>
      <c r="N19" s="733"/>
      <c r="O19" s="733"/>
      <c r="P19" s="733"/>
      <c r="Q19" s="733"/>
      <c r="S19" s="920"/>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98"/>
      <c r="CE19" s="1498"/>
      <c r="CF19" s="1498"/>
      <c r="CG19" s="1498"/>
      <c r="CH19" s="1498"/>
      <c r="CI19" s="1498"/>
      <c r="CJ19" s="1498"/>
      <c r="CK19" s="1498"/>
      <c r="CL19" s="1498"/>
      <c r="CM19" s="1498"/>
      <c r="CN19" s="1498"/>
      <c r="CO19" s="1498"/>
      <c r="CP19" s="1498"/>
      <c r="CQ19" s="1498"/>
      <c r="CR19" s="1498"/>
      <c r="CS19" s="1498"/>
      <c r="CW19" s="1171"/>
      <c r="CX19" s="1170"/>
      <c r="CY19" s="1170"/>
      <c r="CZ19" s="1170"/>
      <c r="DA19" s="1173"/>
      <c r="DB19" s="1173"/>
    </row>
    <row s="1498" customFormat="1" customHeight="1" ht="12" hidden="1">
      <c r="B20" s="785"/>
      <c r="E20" s="794"/>
      <c r="G20" s="733"/>
      <c r="H20" s="733"/>
      <c r="I20" s="733"/>
      <c r="J20" s="733"/>
      <c r="K20" s="733"/>
      <c r="L20" s="733"/>
      <c r="M20" s="733"/>
      <c r="N20" s="733"/>
      <c r="O20" s="733"/>
      <c r="P20" s="733"/>
      <c r="Q20" s="733"/>
      <c r="S20" s="920"/>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98"/>
      <c r="CE20" s="1498"/>
      <c r="CF20" s="1498"/>
      <c r="CG20" s="1498"/>
      <c r="CH20" s="1498"/>
      <c r="CI20" s="1498"/>
      <c r="CJ20" s="1498"/>
      <c r="CK20" s="1498"/>
      <c r="CL20" s="1498"/>
      <c r="CM20" s="1498"/>
      <c r="CN20" s="1498"/>
      <c r="CO20" s="1498"/>
      <c r="CP20" s="1498"/>
      <c r="CQ20" s="1498"/>
      <c r="CR20" s="1498"/>
      <c r="CS20" s="1498"/>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Ульяновская область / 2026 / ООО "НИИАР-ГЕНЕРАЦИЯ" (ИНН:7329008990, КПП:732901001)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99"/>
      <c r="AP23" s="1799"/>
      <c r="AQ23" s="1799"/>
      <c r="AR23" s="1799"/>
      <c r="AS23" s="1799"/>
      <c r="AT23" s="1799"/>
      <c r="AU23" s="1799"/>
      <c r="AV23" s="1799"/>
      <c r="AW23" s="1799"/>
      <c r="AX23" s="1799"/>
      <c r="AY23" s="1799"/>
      <c r="AZ23" s="1799"/>
      <c r="BA23" s="1799"/>
      <c r="BB23" s="1799"/>
      <c r="BC23" s="1799"/>
      <c r="BD23" s="1799"/>
      <c r="BE23" s="1799"/>
      <c r="BF23" s="1799"/>
      <c r="BG23" s="1799"/>
      <c r="BH23" s="1799"/>
      <c r="BI23" s="1799"/>
      <c r="BJ23" s="1799"/>
      <c r="BK23" s="1799"/>
      <c r="BL23" s="1799"/>
      <c r="BM23" s="1799"/>
      <c r="BN23" s="1799"/>
      <c r="BO23" s="1799"/>
      <c r="BP23" s="1799"/>
      <c r="BQ23" s="1799"/>
      <c r="BR23" s="1799"/>
      <c r="BS23" s="1799"/>
      <c r="BT23" s="1799"/>
      <c r="BU23" s="1799"/>
      <c r="BV23" s="1799"/>
      <c r="BW23" s="1799"/>
      <c r="BX23" s="1799"/>
      <c r="BY23" s="1799"/>
      <c r="BZ23" s="1799"/>
      <c r="CA23" s="1799"/>
      <c r="CB23" s="1799"/>
      <c r="CC23" s="1799"/>
      <c r="CD23" s="1799"/>
      <c r="CE23" s="1799"/>
      <c r="CF23" s="1799"/>
      <c r="CG23" s="1799"/>
      <c r="CH23" s="1799"/>
      <c r="CI23" s="1799"/>
      <c r="CJ23" s="1799"/>
      <c r="CK23" s="1799"/>
      <c r="CL23" s="1799"/>
      <c r="CM23" s="1799"/>
      <c r="CN23" s="1799"/>
      <c r="CO23" s="1799"/>
      <c r="CP23" s="1799"/>
      <c r="CQ23" s="1799"/>
      <c r="CR23" s="1799"/>
      <c r="CS23" s="1799"/>
    </row>
    <row customHeight="1" ht="15.405000000000001">
      <c r="E24" s="794">
        <v>15.8</v>
      </c>
      <c r="AB24" s="1488" t="s">
        <v>715</v>
      </c>
      <c r="AC24" s="1488"/>
      <c r="AD24" s="1488"/>
      <c r="AE24" s="1488" t="s">
        <v>716</v>
      </c>
      <c r="AF24" s="1488"/>
      <c r="AG24" s="1488" t="s">
        <v>428</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49" t="s">
        <v>582</v>
      </c>
    </row>
    <row customHeight="1" ht="15.405000000000001">
      <c r="E25" s="794">
        <v>15.8</v>
      </c>
      <c r="AB25" s="1488"/>
      <c r="AC25" s="1488"/>
      <c r="AD25" s="1488"/>
      <c r="AE25" s="1488"/>
      <c r="AF25" s="1488"/>
      <c r="AG25" s="1488"/>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717</v>
      </c>
      <c r="AT25" s="1355" t="s">
        <v>718</v>
      </c>
      <c r="AU25" s="1359" t="s">
        <v>119</v>
      </c>
      <c r="AV25" s="1355" t="s">
        <v>717</v>
      </c>
      <c r="AW25" s="1355" t="s">
        <v>718</v>
      </c>
      <c r="AX25" s="1359" t="s">
        <v>119</v>
      </c>
      <c r="AY25" s="1355" t="s">
        <v>717</v>
      </c>
      <c r="AZ25" s="1355" t="s">
        <v>718</v>
      </c>
      <c r="BA25" s="1359" t="s">
        <v>119</v>
      </c>
      <c r="BB25" s="1355" t="s">
        <v>717</v>
      </c>
      <c r="BC25" s="1355" t="s">
        <v>718</v>
      </c>
      <c r="BD25" s="1359" t="s">
        <v>119</v>
      </c>
      <c r="BE25" s="1355" t="s">
        <v>717</v>
      </c>
      <c r="BF25" s="1355" t="s">
        <v>718</v>
      </c>
      <c r="BG25" s="1359" t="s">
        <v>119</v>
      </c>
      <c r="BH25" s="1355" t="s">
        <v>717</v>
      </c>
      <c r="BI25" s="1355" t="s">
        <v>718</v>
      </c>
      <c r="BJ25" s="1359" t="s">
        <v>119</v>
      </c>
      <c r="BK25" s="1355" t="s">
        <v>717</v>
      </c>
      <c r="BL25" s="1355" t="s">
        <v>718</v>
      </c>
      <c r="BM25" s="1359" t="s">
        <v>119</v>
      </c>
      <c r="BN25" s="1355" t="s">
        <v>717</v>
      </c>
      <c r="BO25" s="1355" t="s">
        <v>718</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717</v>
      </c>
      <c r="BX25" s="410" t="s">
        <v>718</v>
      </c>
      <c r="BY25" s="409" t="s">
        <v>119</v>
      </c>
      <c r="BZ25" s="410" t="s">
        <v>717</v>
      </c>
      <c r="CA25" s="410" t="s">
        <v>718</v>
      </c>
      <c r="CB25" s="409" t="s">
        <v>119</v>
      </c>
      <c r="CC25" s="410" t="s">
        <v>717</v>
      </c>
      <c r="CD25" s="409" t="s">
        <v>718</v>
      </c>
      <c r="CE25" s="409" t="s">
        <v>119</v>
      </c>
      <c r="CF25" s="410" t="s">
        <v>717</v>
      </c>
      <c r="CG25" s="410" t="s">
        <v>718</v>
      </c>
      <c r="CH25" s="409" t="s">
        <v>119</v>
      </c>
      <c r="CI25" s="410" t="s">
        <v>717</v>
      </c>
      <c r="CJ25" s="410" t="s">
        <v>718</v>
      </c>
      <c r="CK25" s="409" t="s">
        <v>119</v>
      </c>
      <c r="CL25" s="410" t="s">
        <v>717</v>
      </c>
      <c r="CM25" s="410" t="s">
        <v>718</v>
      </c>
      <c r="CN25" s="409" t="s">
        <v>119</v>
      </c>
      <c r="CO25" s="410" t="s">
        <v>717</v>
      </c>
      <c r="CP25" s="410" t="s">
        <v>718</v>
      </c>
      <c r="CQ25" s="409" t="s">
        <v>119</v>
      </c>
      <c r="CR25" s="410" t="s">
        <v>717</v>
      </c>
      <c r="CS25" s="410" t="s">
        <v>718</v>
      </c>
      <c r="CT25" s="1449"/>
    </row>
    <row customHeight="1" ht="52.650000000000006">
      <c r="E26" s="794">
        <v>54</v>
      </c>
      <c r="AB26" s="1488"/>
      <c r="AC26" s="1488"/>
      <c r="AD26" s="1488"/>
      <c r="AE26" s="1488"/>
      <c r="AF26" s="1488"/>
      <c r="AG26" s="1488"/>
      <c r="AH26" s="623" t="s">
        <v>401</v>
      </c>
      <c r="AI26" s="1354" t="s">
        <v>583</v>
      </c>
      <c r="AJ26" s="167" t="s">
        <v>584</v>
      </c>
      <c r="AK26" s="167" t="s">
        <v>401</v>
      </c>
      <c r="AL26" s="1355" t="s">
        <v>402</v>
      </c>
      <c r="AM26" s="1355" t="s">
        <v>402</v>
      </c>
      <c r="AN26" s="1355" t="s">
        <v>402</v>
      </c>
      <c r="AO26" s="1355" t="s">
        <v>402</v>
      </c>
      <c r="AP26" s="1355" t="s">
        <v>402</v>
      </c>
      <c r="AQ26" s="1355" t="s">
        <v>402</v>
      </c>
      <c r="AR26" s="1355" t="s">
        <v>402</v>
      </c>
      <c r="AS26" s="1355" t="s">
        <v>402</v>
      </c>
      <c r="AT26" s="1355" t="s">
        <v>402</v>
      </c>
      <c r="AU26" s="1355" t="s">
        <v>402</v>
      </c>
      <c r="AV26" s="1355" t="s">
        <v>402</v>
      </c>
      <c r="AW26" s="1355" t="s">
        <v>402</v>
      </c>
      <c r="AX26" s="1355" t="s">
        <v>402</v>
      </c>
      <c r="AY26" s="1355" t="s">
        <v>402</v>
      </c>
      <c r="AZ26" s="1355" t="s">
        <v>402</v>
      </c>
      <c r="BA26" s="1355" t="s">
        <v>402</v>
      </c>
      <c r="BB26" s="1355" t="s">
        <v>402</v>
      </c>
      <c r="BC26" s="1355" t="s">
        <v>402</v>
      </c>
      <c r="BD26" s="1355" t="s">
        <v>402</v>
      </c>
      <c r="BE26" s="1355" t="s">
        <v>402</v>
      </c>
      <c r="BF26" s="1355" t="s">
        <v>402</v>
      </c>
      <c r="BG26" s="1355" t="s">
        <v>402</v>
      </c>
      <c r="BH26" s="1355" t="s">
        <v>402</v>
      </c>
      <c r="BI26" s="1355" t="s">
        <v>402</v>
      </c>
      <c r="BJ26" s="1355" t="s">
        <v>402</v>
      </c>
      <c r="BK26" s="1355" t="s">
        <v>402</v>
      </c>
      <c r="BL26" s="1355" t="s">
        <v>402</v>
      </c>
      <c r="BM26" s="1355" t="s">
        <v>402</v>
      </c>
      <c r="BN26" s="1355" t="s">
        <v>402</v>
      </c>
      <c r="BO26" s="1355" t="s">
        <v>402</v>
      </c>
      <c r="BP26" s="410" t="s">
        <v>401</v>
      </c>
      <c r="BQ26" s="410" t="s">
        <v>401</v>
      </c>
      <c r="BR26" s="410" t="s">
        <v>401</v>
      </c>
      <c r="BS26" s="410" t="s">
        <v>401</v>
      </c>
      <c r="BT26" s="410" t="s">
        <v>401</v>
      </c>
      <c r="BU26" s="410" t="s">
        <v>401</v>
      </c>
      <c r="BV26" s="410" t="s">
        <v>401</v>
      </c>
      <c r="BW26" s="410" t="s">
        <v>401</v>
      </c>
      <c r="BX26" s="410" t="s">
        <v>401</v>
      </c>
      <c r="BY26" s="410" t="s">
        <v>401</v>
      </c>
      <c r="BZ26" s="410" t="s">
        <v>401</v>
      </c>
      <c r="CA26" s="410" t="s">
        <v>401</v>
      </c>
      <c r="CB26" s="410" t="s">
        <v>401</v>
      </c>
      <c r="CC26" s="410" t="s">
        <v>401</v>
      </c>
      <c r="CD26" s="410" t="s">
        <v>401</v>
      </c>
      <c r="CE26" s="410" t="s">
        <v>401</v>
      </c>
      <c r="CF26" s="410" t="s">
        <v>401</v>
      </c>
      <c r="CG26" s="410" t="s">
        <v>401</v>
      </c>
      <c r="CH26" s="410" t="s">
        <v>401</v>
      </c>
      <c r="CI26" s="410" t="s">
        <v>401</v>
      </c>
      <c r="CJ26" s="410" t="s">
        <v>401</v>
      </c>
      <c r="CK26" s="410" t="s">
        <v>401</v>
      </c>
      <c r="CL26" s="410" t="s">
        <v>401</v>
      </c>
      <c r="CM26" s="410" t="s">
        <v>401</v>
      </c>
      <c r="CN26" s="410" t="s">
        <v>401</v>
      </c>
      <c r="CO26" s="410" t="s">
        <v>401</v>
      </c>
      <c r="CP26" s="410" t="s">
        <v>401</v>
      </c>
      <c r="CQ26" s="410" t="s">
        <v>401</v>
      </c>
      <c r="CR26" s="410" t="s">
        <v>401</v>
      </c>
      <c r="CS26" s="410" t="s">
        <v>401</v>
      </c>
      <c r="CT26" s="1449"/>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311</v>
      </c>
      <c r="Y28" s="1497">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719</v>
      </c>
      <c r="S29" s="156" cm="1" t="str">
        <f t="array" ref="S29:S29">OFFSET(T29,-1,-1)</f>
        <v>false</v>
      </c>
      <c r="T29" s="156" cm="1" t="str">
        <f t="array" ref="T29:T29">L29</f>
        <v>false</v>
      </c>
      <c r="U29" s="816">
        <f>AND(S29,IF(ISBLANK(T29),TRUE,T29))</f>
        <v>0</v>
      </c>
      <c r="AB29" s="1499" t="s">
        <v>720</v>
      </c>
      <c r="AD29" s="157">
        <v>1</v>
      </c>
      <c r="AE29" s="1474" t="s">
        <v>721</v>
      </c>
      <c r="AF29" s="165"/>
      <c r="AG29" s="157" t="s">
        <v>722</v>
      </c>
      <c r="AH29" s="87"/>
      <c r="AI29" s="88"/>
      <c r="AJ29" s="88"/>
      <c r="AK29" s="88"/>
      <c r="AL29" s="860">
        <f>AM29+AN29</f>
        <v>0</v>
      </c>
      <c r="AM29" s="88"/>
      <c r="AN29" s="88"/>
      <c r="AO29" s="860">
        <f>AP29+AQ29</f>
        <v>0</v>
      </c>
      <c r="AP29" s="1806"/>
      <c r="AQ29" s="1806"/>
      <c r="AR29" s="860">
        <f>AS29+AT29</f>
        <v>0</v>
      </c>
      <c r="AS29" s="1806"/>
      <c r="AT29" s="1806"/>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806"/>
      <c r="BU29" s="1806"/>
      <c r="BV29" s="860">
        <f>BW29+BX29</f>
        <v>0</v>
      </c>
      <c r="BW29" s="1806"/>
      <c r="BX29" s="1806"/>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723</v>
      </c>
    </row>
    <row customHeight="1" ht="16.672500000000003" hidden="1">
      <c r="E30" s="794">
        <v>17.1</v>
      </c>
      <c r="F30" s="920" cm="1" t="str">
        <f t="array" ref="F30:F30">OFFSET(G30,-1,-1)</f>
        <v>0</v>
      </c>
      <c r="L30" s="920" cm="1" t="str">
        <f t="array" ref="L30:L30">OFFSET(M30,-1,-1)</f>
        <v>false</v>
      </c>
      <c r="R30" s="920" t="s">
        <v>719</v>
      </c>
      <c r="S30" s="156" cm="1" t="str">
        <f t="array" ref="S30:S30">OFFSET(T30,-1,-1)</f>
        <v>false</v>
      </c>
      <c r="T30" s="156" cm="1" t="str">
        <f t="array" ref="T30:T30">T29</f>
        <v>false</v>
      </c>
      <c r="U30" s="816">
        <f>AND(S30,IF(ISBLANK(T30),TRUE,T30))</f>
        <v>0</v>
      </c>
      <c r="AB30" s="1500"/>
      <c r="AD30" s="157">
        <v>2</v>
      </c>
      <c r="AE30" s="1474" t="s">
        <v>724</v>
      </c>
      <c r="AF30" s="165"/>
      <c r="AG30" s="157" t="s">
        <v>722</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725</v>
      </c>
    </row>
    <row customHeight="1" ht="16.672500000000003" hidden="1">
      <c r="E31" s="794">
        <v>17.1</v>
      </c>
      <c r="F31" s="920" cm="1" t="str">
        <f t="array" ref="F31:F31">OFFSET(G31,-1,-1)</f>
        <v>0</v>
      </c>
      <c r="L31" s="920" cm="1" t="str">
        <f t="array" ref="L31:L31">OFFSET(M31,-1,-1)</f>
        <v>false</v>
      </c>
      <c r="R31" s="920" t="s">
        <v>719</v>
      </c>
      <c r="S31" s="156" cm="1" t="str">
        <f t="array" ref="S31:S31">OFFSET(T31,-1,-1)</f>
        <v>false</v>
      </c>
      <c r="T31" s="156" cm="1" t="str">
        <f t="array" ref="T31:T31">T30</f>
        <v>false</v>
      </c>
      <c r="U31" s="816">
        <f>AND(S31,IF(ISBLANK(T31),TRUE,T31))</f>
        <v>0</v>
      </c>
      <c r="AB31" s="1500"/>
      <c r="AD31" s="157" t="s">
        <v>443</v>
      </c>
      <c r="AE31" s="1486" t="s">
        <v>726</v>
      </c>
      <c r="AF31" s="162"/>
      <c r="AG31" s="157" t="s">
        <v>722</v>
      </c>
      <c r="AH31" s="87"/>
      <c r="AI31" s="88"/>
      <c r="AJ31" s="88"/>
      <c r="AK31" s="88"/>
      <c r="AL31" s="860">
        <f>AM31+AN31</f>
        <v>0</v>
      </c>
      <c r="AM31" s="88"/>
      <c r="AN31" s="88"/>
      <c r="AO31" s="860">
        <f>AP31+AQ31</f>
        <v>0</v>
      </c>
      <c r="AP31" s="1806"/>
      <c r="AQ31" s="1806"/>
      <c r="AR31" s="860">
        <f>AS31+AT31</f>
        <v>0</v>
      </c>
      <c r="AS31" s="1806"/>
      <c r="AT31" s="1806"/>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806"/>
      <c r="BU31" s="1806"/>
      <c r="BV31" s="860">
        <f>BW31+BX31</f>
        <v>0</v>
      </c>
      <c r="BW31" s="1806"/>
      <c r="BX31" s="1806"/>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727</v>
      </c>
    </row>
    <row customHeight="1" ht="16.672500000000003" hidden="1">
      <c r="E32" s="794">
        <v>17.1</v>
      </c>
      <c r="F32" s="920" cm="1" t="str">
        <f t="array" ref="F32:F32">OFFSET(G32,-1,-1)</f>
        <v>0</v>
      </c>
      <c r="L32" s="920" cm="1" t="str">
        <f t="array" ref="L32:L32">OFFSET(M32,-1,-1)</f>
        <v>false</v>
      </c>
      <c r="R32" s="920" t="s">
        <v>719</v>
      </c>
      <c r="S32" s="156" cm="1" t="str">
        <f t="array" ref="S32:S32">OFFSET(T32,-1,-1)</f>
        <v>false</v>
      </c>
      <c r="T32" s="156" cm="1" t="str">
        <f t="array" ref="T32:T32">T31</f>
        <v>false</v>
      </c>
      <c r="U32" s="816">
        <f>AND(S32,IF(ISBLANK(T32),TRUE,T32))</f>
        <v>0</v>
      </c>
      <c r="AB32" s="1500"/>
      <c r="AD32" s="157" t="s">
        <v>446</v>
      </c>
      <c r="AE32" s="1491" t="s">
        <v>728</v>
      </c>
      <c r="AF32" s="163"/>
      <c r="AG32" s="157" t="s">
        <v>485</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729</v>
      </c>
    </row>
    <row customHeight="1" ht="16.672500000000003" hidden="1">
      <c r="E33" s="794">
        <v>17.1</v>
      </c>
      <c r="F33" s="920" cm="1" t="str">
        <f t="array" ref="F33:F33">OFFSET(G33,-1,-1)</f>
        <v>0</v>
      </c>
      <c r="L33" s="920" cm="1" t="str">
        <f t="array" ref="L33:L33">OFFSET(M33,-1,-1)</f>
        <v>false</v>
      </c>
      <c r="R33" s="920" t="s">
        <v>719</v>
      </c>
      <c r="S33" s="156" cm="1" t="str">
        <f t="array" ref="S33:S33">OFFSET(T33,-1,-1)</f>
        <v>false</v>
      </c>
      <c r="T33" s="156" cm="1" t="str">
        <f t="array" ref="T33:T33">T32</f>
        <v>false</v>
      </c>
      <c r="U33" s="816">
        <f>AND(S33,IF(ISBLANK(T33),TRUE,T33))</f>
        <v>0</v>
      </c>
      <c r="AB33" s="1500"/>
      <c r="AD33" s="157" t="s">
        <v>470</v>
      </c>
      <c r="AE33" s="1486" t="s">
        <v>730</v>
      </c>
      <c r="AF33" s="162"/>
      <c r="AG33" s="157" t="s">
        <v>722</v>
      </c>
      <c r="AH33" s="87"/>
      <c r="AI33" s="88"/>
      <c r="AJ33" s="88"/>
      <c r="AK33" s="88"/>
      <c r="AL33" s="860">
        <f>AM33+AN33</f>
        <v>0</v>
      </c>
      <c r="AM33" s="88"/>
      <c r="AN33" s="88"/>
      <c r="AO33" s="860">
        <f>AP33+AQ33</f>
        <v>0</v>
      </c>
      <c r="AP33" s="1806"/>
      <c r="AQ33" s="1806"/>
      <c r="AR33" s="860">
        <f>AS33+AT33</f>
        <v>0</v>
      </c>
      <c r="AS33" s="1806"/>
      <c r="AT33" s="1806"/>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806"/>
      <c r="BU33" s="1806"/>
      <c r="BV33" s="860">
        <f>BW33+BX33</f>
        <v>0</v>
      </c>
      <c r="BW33" s="1806"/>
      <c r="BX33" s="1806"/>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731</v>
      </c>
    </row>
    <row customHeight="1" ht="16.672500000000003" hidden="1">
      <c r="E34" s="794">
        <v>17.1</v>
      </c>
      <c r="F34" s="920" cm="1" t="str">
        <f t="array" ref="F34:F34">OFFSET(G34,-1,-1)</f>
        <v>0</v>
      </c>
      <c r="L34" s="920" cm="1" t="str">
        <f t="array" ref="L34:L34">OFFSET(M34,-1,-1)</f>
        <v>false</v>
      </c>
      <c r="R34" s="920" t="s">
        <v>719</v>
      </c>
      <c r="S34" s="156" cm="1" t="str">
        <f t="array" ref="S34:S34">OFFSET(T34,-1,-1)</f>
        <v>false</v>
      </c>
      <c r="T34" s="156" cm="1" t="str">
        <f t="array" ref="T34:T34">T33</f>
        <v>false</v>
      </c>
      <c r="U34" s="816">
        <f>AND(S34,IF(ISBLANK(T34),TRUE,T34))</f>
        <v>0</v>
      </c>
      <c r="AB34" s="1500"/>
      <c r="AD34" s="157" t="s">
        <v>732</v>
      </c>
      <c r="AE34" s="1491" t="s">
        <v>733</v>
      </c>
      <c r="AF34" s="163"/>
      <c r="AG34" s="157" t="s">
        <v>734</v>
      </c>
      <c r="AH34" s="87"/>
      <c r="AI34" s="88"/>
      <c r="AJ34" s="88"/>
      <c r="AK34" s="88"/>
      <c r="AL34" s="88"/>
      <c r="AM34" s="88"/>
      <c r="AN34" s="88"/>
      <c r="AO34" s="1806"/>
      <c r="AP34" s="1806"/>
      <c r="AQ34" s="1806"/>
      <c r="AR34" s="1806"/>
      <c r="AS34" s="1806"/>
      <c r="AT34" s="1806"/>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806"/>
      <c r="BT34" s="1806"/>
      <c r="BU34" s="1806"/>
      <c r="BV34" s="1806"/>
      <c r="BW34" s="1806"/>
      <c r="BX34" s="1806"/>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735</v>
      </c>
    </row>
    <row customHeight="1" ht="16.672500000000003" hidden="1">
      <c r="E35" s="794">
        <v>17.1</v>
      </c>
      <c r="F35" s="920" cm="1" t="str">
        <f t="array" ref="F35:F35">OFFSET(G35,-1,-1)</f>
        <v>0</v>
      </c>
      <c r="L35" s="920" cm="1" t="str">
        <f t="array" ref="L35:L35">OFFSET(M35,-1,-1)</f>
        <v>false</v>
      </c>
      <c r="R35" s="920" t="s">
        <v>719</v>
      </c>
      <c r="S35" s="156" cm="1" t="str">
        <f t="array" ref="S35:S35">OFFSET(T35,-1,-1)</f>
        <v>false</v>
      </c>
      <c r="T35" s="156" cm="1" t="str">
        <f t="array" ref="T35:T35">T34</f>
        <v>false</v>
      </c>
      <c r="U35" s="816">
        <f>AND(S35,IF(ISBLANK(T35),TRUE,T35))</f>
        <v>0</v>
      </c>
      <c r="AB35" s="1500"/>
      <c r="AD35" s="157">
        <v>3</v>
      </c>
      <c r="AE35" s="1474" t="s">
        <v>736</v>
      </c>
      <c r="AF35" s="165"/>
      <c r="AG35" s="157" t="s">
        <v>722</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737</v>
      </c>
    </row>
    <row customHeight="1" ht="16.672500000000003" hidden="1">
      <c r="E36" s="794">
        <v>17.1</v>
      </c>
      <c r="F36" s="920" cm="1" t="str">
        <f t="array" ref="F36:F36">OFFSET(G36,-1,-1)</f>
        <v>0</v>
      </c>
      <c r="L36" s="920" cm="1" t="str">
        <f t="array" ref="L36:L36">OFFSET(M36,-1,-1)</f>
        <v>false</v>
      </c>
      <c r="R36" s="920" t="s">
        <v>719</v>
      </c>
      <c r="S36" s="156" cm="1" t="str">
        <f t="array" ref="S36:S36">OFFSET(T36,-1,-1)</f>
        <v>false</v>
      </c>
      <c r="T36" s="156" cm="1" t="str">
        <f t="array" ref="T36:T36">T35</f>
        <v>false</v>
      </c>
      <c r="U36" s="816">
        <f>AND(S36,IF(ISBLANK(T36),TRUE,T36))</f>
        <v>0</v>
      </c>
      <c r="AB36" s="1500"/>
      <c r="AD36" s="157">
        <v>4</v>
      </c>
      <c r="AE36" s="1474" t="s">
        <v>738</v>
      </c>
      <c r="AF36" s="165"/>
      <c r="AG36" s="157" t="s">
        <v>722</v>
      </c>
      <c r="AH36" s="87"/>
      <c r="AI36" s="88"/>
      <c r="AJ36" s="88"/>
      <c r="AK36" s="88"/>
      <c r="AL36" s="860">
        <f>AM36+AN36</f>
        <v>0</v>
      </c>
      <c r="AM36" s="88"/>
      <c r="AN36" s="88"/>
      <c r="AO36" s="860">
        <f>AP36+AQ36</f>
        <v>0</v>
      </c>
      <c r="AP36" s="1806"/>
      <c r="AQ36" s="1806"/>
      <c r="AR36" s="860">
        <f>AS36+AT36</f>
        <v>0</v>
      </c>
      <c r="AS36" s="1806"/>
      <c r="AT36" s="1806"/>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806"/>
      <c r="BU36" s="1806"/>
      <c r="BV36" s="860">
        <f>BW36+BX36</f>
        <v>0</v>
      </c>
      <c r="BW36" s="1806"/>
      <c r="BX36" s="1806"/>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739</v>
      </c>
    </row>
    <row customHeight="1" ht="16.672500000000003" hidden="1">
      <c r="E37" s="794">
        <v>17.1</v>
      </c>
      <c r="F37" s="920" cm="1" t="str">
        <f t="array" ref="F37:F37">OFFSET(G37,-1,-1)</f>
        <v>0</v>
      </c>
      <c r="L37" s="920" cm="1" t="str">
        <f t="array" ref="L37:L37">OFFSET(M37,-1,-1)</f>
        <v>false</v>
      </c>
      <c r="R37" s="920" t="s">
        <v>719</v>
      </c>
      <c r="S37" s="156" cm="1" t="str">
        <f t="array" ref="S37:S37">OFFSET(T37,-1,-1)</f>
        <v>false</v>
      </c>
      <c r="T37" s="156" cm="1" t="str">
        <f t="array" ref="T37:T37">T36</f>
        <v>false</v>
      </c>
      <c r="U37" s="816">
        <f>AND(S37,IF(ISBLANK(T37),TRUE,T37))</f>
        <v>0</v>
      </c>
      <c r="AB37" s="1500"/>
      <c r="AD37" s="157" t="s">
        <v>740</v>
      </c>
      <c r="AE37" s="1486" t="s">
        <v>741</v>
      </c>
      <c r="AF37" s="162"/>
      <c r="AG37" s="157" t="s">
        <v>485</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742</v>
      </c>
    </row>
    <row customHeight="1" ht="16.672500000000003" hidden="1">
      <c r="E38" s="794">
        <v>17.1</v>
      </c>
      <c r="F38" s="920" cm="1" t="str">
        <f t="array" ref="F38:F38">OFFSET(G38,-1,-1)</f>
        <v>0</v>
      </c>
      <c r="L38" s="920" cm="1" t="str">
        <f t="array" ref="L38:L38">OFFSET(M38,-1,-1)</f>
        <v>false</v>
      </c>
      <c r="R38" s="920" t="s">
        <v>719</v>
      </c>
      <c r="S38" s="156" cm="1" t="str">
        <f t="array" ref="S38:S38">OFFSET(T38,-1,-1)</f>
        <v>false</v>
      </c>
      <c r="T38" s="156" cm="1" t="str">
        <f t="array" ref="T38:T38">T37</f>
        <v>false</v>
      </c>
      <c r="U38" s="816">
        <f>AND(S38,IF(ISBLANK(T38),TRUE,T38))</f>
        <v>0</v>
      </c>
      <c r="AB38" s="1500"/>
      <c r="AD38" s="157">
        <v>5</v>
      </c>
      <c r="AE38" s="1493" t="s">
        <v>743</v>
      </c>
      <c r="AF38" s="1494"/>
      <c r="AG38" s="157" t="s">
        <v>722</v>
      </c>
      <c r="AH38" s="87"/>
      <c r="AI38" s="88"/>
      <c r="AJ38" s="88"/>
      <c r="AK38" s="88"/>
      <c r="AL38" s="860">
        <f>AM38+AN38</f>
        <v>0</v>
      </c>
      <c r="AM38" s="88"/>
      <c r="AN38" s="88"/>
      <c r="AO38" s="860">
        <f>AP38+AQ38</f>
        <v>0</v>
      </c>
      <c r="AP38" s="1806"/>
      <c r="AQ38" s="1806"/>
      <c r="AR38" s="860">
        <f>AS38+AT38</f>
        <v>0</v>
      </c>
      <c r="AS38" s="1806"/>
      <c r="AT38" s="1806"/>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806"/>
      <c r="BU38" s="1806"/>
      <c r="BV38" s="860">
        <f>BW38+BX38</f>
        <v>0</v>
      </c>
      <c r="BW38" s="1806"/>
      <c r="BX38" s="1806"/>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744</v>
      </c>
    </row>
    <row customHeight="1" ht="16.672500000000003" hidden="1">
      <c r="E39" s="794">
        <v>17.1</v>
      </c>
      <c r="F39" s="920" cm="1" t="str">
        <f t="array" ref="F39:F39">OFFSET(G39,-1,-1)</f>
        <v>0</v>
      </c>
      <c r="L39" s="920" cm="1" t="str">
        <f t="array" ref="L39:L39">OFFSET(M39,-1,-1)</f>
        <v>false</v>
      </c>
      <c r="R39" s="920" t="s">
        <v>719</v>
      </c>
      <c r="S39" s="156" cm="1" t="str">
        <f t="array" ref="S39:S39">OFFSET(T39,-1,-1)</f>
        <v>false</v>
      </c>
      <c r="T39" s="156" cm="1" t="str">
        <f t="array" ref="T39:T39">T38</f>
        <v>false</v>
      </c>
      <c r="U39" s="816">
        <f>AND(S39,IF(ISBLANK(T39),TRUE,T39))</f>
        <v>0</v>
      </c>
      <c r="AB39" s="1500"/>
      <c r="AD39" s="157" t="s">
        <v>745</v>
      </c>
      <c r="AE39" s="1486" t="s">
        <v>741</v>
      </c>
      <c r="AF39" s="162"/>
      <c r="AG39" s="157" t="s">
        <v>485</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746</v>
      </c>
    </row>
    <row customHeight="1" ht="16.672500000000003" hidden="1">
      <c r="E40" s="794">
        <v>17.1</v>
      </c>
      <c r="F40" s="920" cm="1" t="str">
        <f t="array" ref="F40:F40">OFFSET(G40,-1,-1)</f>
        <v>0</v>
      </c>
      <c r="L40" s="920" cm="1" t="str">
        <f t="array" ref="L40:L40">OFFSET(M40,-1,-1)</f>
        <v>false</v>
      </c>
      <c r="R40" s="920" t="s">
        <v>719</v>
      </c>
      <c r="S40" s="156" cm="1" t="str">
        <f t="array" ref="S40:S40">OFFSET(T40,-1,-1)</f>
        <v>false</v>
      </c>
      <c r="T40" s="156" cm="1" t="str">
        <f t="array" ref="T40:T40">T39</f>
        <v>false</v>
      </c>
      <c r="U40" s="816">
        <f>AND(S40,IF(ISBLANK(T40),TRUE,T40))</f>
        <v>0</v>
      </c>
      <c r="AB40" s="1500"/>
      <c r="AD40" s="157">
        <v>6</v>
      </c>
      <c r="AE40" s="1493" t="s">
        <v>747</v>
      </c>
      <c r="AF40" s="1494"/>
      <c r="AG40" s="157" t="s">
        <v>722</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748</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500"/>
      <c r="AD41" s="157">
        <v>7</v>
      </c>
      <c r="AE41" s="1489" t="s">
        <v>749</v>
      </c>
      <c r="AF41" s="164"/>
      <c r="AG41" s="870" t="s">
        <v>586</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806"/>
      <c r="AQ41" s="860">
        <f>AO41-AP41</f>
        <v>0</v>
      </c>
      <c r="AR41" s="858">
        <f>_xlfn.SUMIFS('Баланс Пр'!AK$27:AK$165,'Баланс Пр'!$AB$27:$AB$165,"3.1",'Баланс Пр'!$F$27:$F$165,$F41)+_xlfn.SUMIFS('Баланс Пр'!AK$27:AK$165,'Баланс Пр'!$AB$27:$AB$165,"3.2",'Баланс Пр'!$F$27:$F$165,$F41)</f>
        <v>0</v>
      </c>
      <c r="AS41" s="1806"/>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806"/>
      <c r="BU41" s="860">
        <f>BS41-BT41</f>
        <v>0</v>
      </c>
      <c r="BV41" s="858">
        <f>_xlfn.SUMIFS('Баланс Пр'!AU$27:AU$165,'Баланс Пр'!$AB$27:$AB$165,"3.1",'Баланс Пр'!$F$27:$F$165,$F41)+_xlfn.SUMIFS('Баланс Пр'!AU$27:AU$165,'Баланс Пр'!$AB$27:$AB$165,"3.2",'Баланс Пр'!$F$27:$F$165,$F41)</f>
        <v>0</v>
      </c>
      <c r="BW41" s="1806"/>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750</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500"/>
      <c r="AD42" s="157">
        <v>8</v>
      </c>
      <c r="AE42" s="1489" t="s">
        <v>751</v>
      </c>
      <c r="AF42" s="164"/>
      <c r="AG42" s="870" t="s">
        <v>586</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806"/>
      <c r="AQ42" s="860">
        <f>AO42-AP42</f>
        <v>0</v>
      </c>
      <c r="AR42" s="858">
        <f>_xlfn.SUMIFS('Баланс Пр'!AK$27:AK$165,'Баланс Пр'!$AB$27:$AB$165,"5",'Баланс Пр'!$F$27:$F$165,$F41)</f>
        <v>0</v>
      </c>
      <c r="AS42" s="1806"/>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806"/>
      <c r="BU42" s="860">
        <f>BS42-BT42</f>
        <v>0</v>
      </c>
      <c r="BV42" s="858">
        <f>_xlfn.SUMIFS('Баланс Пр'!AU$27:AU$165,'Баланс Пр'!$AB$27:$AB$165,"5",'Баланс Пр'!$F$27:$F$165,$F41)</f>
        <v>0</v>
      </c>
      <c r="BW42" s="1806"/>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752</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500"/>
      <c r="AD43" s="157" t="s">
        <v>753</v>
      </c>
      <c r="AE43" s="1495" t="s">
        <v>754</v>
      </c>
      <c r="AF43" s="1496"/>
      <c r="AG43" s="648" t="s">
        <v>485</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755</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500"/>
      <c r="AD44" s="157">
        <v>9</v>
      </c>
      <c r="AE44" s="1474" t="s">
        <v>756</v>
      </c>
      <c r="AF44" s="165"/>
      <c r="AG44" s="870" t="s">
        <v>586</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757</v>
      </c>
    </row>
    <row customHeight="1" ht="16.672500000000003" hidden="1">
      <c r="E45" s="794">
        <v>17.1</v>
      </c>
      <c r="F45" s="920" cm="1" t="str">
        <f t="array" ref="F45:F45">OFFSET(G45,-1,-1)</f>
        <v>0</v>
      </c>
      <c r="L45" s="920" cm="1" t="str">
        <f t="array" ref="L45:L45">OFFSET(M45,-1,-1)</f>
        <v>false</v>
      </c>
      <c r="R45" s="920" t="s">
        <v>719</v>
      </c>
      <c r="S45" s="156" cm="1" t="str">
        <f t="array" ref="S45:S45">OFFSET(T45,-1,-1)</f>
        <v>false</v>
      </c>
      <c r="T45" s="156" cm="1" t="str">
        <f t="array" ref="T45:T45">L45</f>
        <v>false</v>
      </c>
      <c r="U45" s="816">
        <f>AND(S45,IF(ISBLANK(T45),TRUE,T45))</f>
        <v>0</v>
      </c>
      <c r="AB45" s="1500"/>
      <c r="AD45" s="157">
        <v>10</v>
      </c>
      <c r="AE45" s="1474" t="s">
        <v>736</v>
      </c>
      <c r="AF45" s="165"/>
      <c r="AG45" s="648" t="s">
        <v>722</v>
      </c>
      <c r="AH45" s="87"/>
      <c r="AI45" s="88"/>
      <c r="AJ45" s="88"/>
      <c r="AK45" s="88"/>
      <c r="AL45" s="860">
        <f>AM45+AN45</f>
        <v>0</v>
      </c>
      <c r="AM45" s="88"/>
      <c r="AN45" s="88"/>
      <c r="AO45" s="860">
        <f>AP45+AQ45</f>
        <v>0</v>
      </c>
      <c r="AP45" s="1806"/>
      <c r="AQ45" s="1806"/>
      <c r="AR45" s="860">
        <f>AS45+AT45</f>
        <v>0</v>
      </c>
      <c r="AS45" s="1806"/>
      <c r="AT45" s="1806"/>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806"/>
      <c r="BU45" s="1806"/>
      <c r="BV45" s="860">
        <f>BW45+BX45</f>
        <v>0</v>
      </c>
      <c r="BW45" s="1806"/>
      <c r="BX45" s="1806"/>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758</v>
      </c>
    </row>
    <row customHeight="1" ht="29.25" hidden="1">
      <c r="E46" s="794">
        <v>30</v>
      </c>
      <c r="F46" s="920" cm="1" t="str">
        <f t="array" ref="F46:F46">OFFSET(G46,-1,-1)</f>
        <v>0</v>
      </c>
      <c r="L46" s="920" cm="1" t="str">
        <f t="array" ref="L46:L46">OFFSET(M46,-1,-1)</f>
        <v>false</v>
      </c>
      <c r="R46" s="920" t="s">
        <v>719</v>
      </c>
      <c r="S46" s="156" cm="1" t="str">
        <f t="array" ref="S46:S46">OFFSET(T46,-1,-1)</f>
        <v>false</v>
      </c>
      <c r="T46" s="156" cm="1" t="str">
        <f t="array" ref="T46:T46">L46</f>
        <v>false</v>
      </c>
      <c r="U46" s="816">
        <f>AND(S46,IF(ISBLANK(T46),TRUE,T46))</f>
        <v>0</v>
      </c>
      <c r="AB46" s="1500"/>
      <c r="AD46" s="157">
        <v>11</v>
      </c>
      <c r="AE46" s="1474" t="s">
        <v>759</v>
      </c>
      <c r="AF46" s="165"/>
      <c r="AG46" s="648" t="s">
        <v>760</v>
      </c>
      <c r="AH46" s="87"/>
      <c r="AI46" s="88"/>
      <c r="AJ46" s="88"/>
      <c r="AK46" s="88"/>
      <c r="AL46" s="860">
        <f>_xlfn.IFERROR(AL47*1000/AL45,0)</f>
        <v>0</v>
      </c>
      <c r="AM46" s="88"/>
      <c r="AN46" s="88" cm="1" t="str">
        <f t="array" ref="AN46:AN46">AM46</f>
        <v>0</v>
      </c>
      <c r="AO46" s="860">
        <f>_xlfn.IFERROR(AO47*1000/AO45,0)</f>
        <v>0</v>
      </c>
      <c r="AP46" s="1806"/>
      <c r="AQ46" s="1806" cm="1" t="str">
        <f t="array" ref="AQ46:AQ46">AP46</f>
        <v>0</v>
      </c>
      <c r="AR46" s="860">
        <f>_xlfn.IFERROR(AR47*1000/AR45,0)</f>
        <v>0</v>
      </c>
      <c r="AS46" s="1806"/>
      <c r="AT46" s="1806"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806"/>
      <c r="BU46" s="1806" cm="1" t="str">
        <f t="array" ref="BU46:BU46">BT46</f>
        <v>0</v>
      </c>
      <c r="BV46" s="860">
        <f>_xlfn.IFERROR(BV47*1000/BV45,0)</f>
        <v>0</v>
      </c>
      <c r="BW46" s="1806"/>
      <c r="BX46" s="1806"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761</v>
      </c>
    </row>
    <row customHeight="1" ht="16.672500000000003" hidden="1">
      <c r="E47" s="794">
        <v>17.1</v>
      </c>
      <c r="F47" s="920" cm="1" t="str">
        <f t="array" ref="F47:F47">OFFSET(G47,-1,-1)</f>
        <v>0</v>
      </c>
      <c r="L47" s="920" cm="1" t="str">
        <f t="array" ref="L47:L47">OFFSET(M47,-1,-1)</f>
        <v>false</v>
      </c>
      <c r="R47" s="920" t="s">
        <v>719</v>
      </c>
      <c r="S47" s="156" cm="1" t="str">
        <f t="array" ref="S47:S47">OFFSET(T47,-1,-1)</f>
        <v>false</v>
      </c>
      <c r="T47" s="156" cm="1" t="str">
        <f t="array" ref="T47:T47">L47</f>
        <v>false</v>
      </c>
      <c r="U47" s="816">
        <f>AND(S47,IF(ISBLANK(T47),TRUE,T47))</f>
        <v>0</v>
      </c>
      <c r="AB47" s="1500"/>
      <c r="AD47" s="157">
        <v>12</v>
      </c>
      <c r="AE47" s="1474" t="s">
        <v>762</v>
      </c>
      <c r="AF47" s="165"/>
      <c r="AG47" s="648" t="s">
        <v>763</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764</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500"/>
      <c r="AD48" s="157">
        <v>13</v>
      </c>
      <c r="AE48" s="1474" t="s">
        <v>749</v>
      </c>
      <c r="AF48" s="165"/>
      <c r="AG48" s="648" t="s">
        <v>586</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809" cm="1" t="str">
        <f t="array" ref="AO48:AO48">AO41</f>
        <v>0</v>
      </c>
      <c r="AP48" s="1809" cm="1" t="str">
        <f t="array" ref="AP48:AP48">AP41</f>
        <v>0</v>
      </c>
      <c r="AQ48" s="1809" cm="1" t="str">
        <f t="array" ref="AQ48:AQ48">AQ41</f>
        <v>0</v>
      </c>
      <c r="AR48" s="1809" cm="1" t="str">
        <f t="array" ref="AR48:AR48">AR41</f>
        <v>0</v>
      </c>
      <c r="AS48" s="1809" cm="1" t="str">
        <f t="array" ref="AS48:AS48">AS41</f>
        <v>0</v>
      </c>
      <c r="AT48" s="1809"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809" cm="1" t="str">
        <f t="array" ref="BS48:BS48">BS41</f>
        <v>0</v>
      </c>
      <c r="BT48" s="1809" cm="1" t="str">
        <f t="array" ref="BT48:BT48">BT41</f>
        <v>0</v>
      </c>
      <c r="BU48" s="1809" cm="1" t="str">
        <f t="array" ref="BU48:BU48">BU41</f>
        <v>0</v>
      </c>
      <c r="BV48" s="1809" cm="1" t="str">
        <f t="array" ref="BV48:BV48">BV41</f>
        <v>0</v>
      </c>
      <c r="BW48" s="1809" cm="1" t="str">
        <f t="array" ref="BW48:BW48">BW41</f>
        <v>0</v>
      </c>
      <c r="BX48" s="1809"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765</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500"/>
      <c r="AD49" s="157">
        <v>14</v>
      </c>
      <c r="AE49" s="1474" t="s">
        <v>766</v>
      </c>
      <c r="AF49" s="165"/>
      <c r="AG49" s="157" t="s">
        <v>767</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809"/>
      <c r="AP49" s="1809" cm="1" t="str">
        <f t="array" ref="AP49:AP49">AO49</f>
        <v>0</v>
      </c>
      <c r="AQ49" s="1809" cm="1" t="str">
        <f t="array" ref="AQ49:AQ49">AO49</f>
        <v>0</v>
      </c>
      <c r="AR49" s="1809"/>
      <c r="AS49" s="1809" cm="1" t="str">
        <f t="array" ref="AS49:AS49">AR49</f>
        <v>0</v>
      </c>
      <c r="AT49" s="1809"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809"/>
      <c r="BT49" s="1809" cm="1" t="str">
        <f t="array" ref="BT49:BT49">BS49</f>
        <v>0</v>
      </c>
      <c r="BU49" s="1809" cm="1" t="str">
        <f t="array" ref="BU49:BU49">BS49</f>
        <v>0</v>
      </c>
      <c r="BV49" s="1809"/>
      <c r="BW49" s="1809" cm="1" t="str">
        <f t="array" ref="BW49:BW49">BV49</f>
        <v>0</v>
      </c>
      <c r="BX49" s="1809"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768</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63" t="s">
        <v>769</v>
      </c>
      <c r="AD50" s="157">
        <v>15</v>
      </c>
      <c r="AE50" s="1474" t="s">
        <v>770</v>
      </c>
      <c r="AF50" s="165"/>
      <c r="AG50" s="157" t="s">
        <v>763</v>
      </c>
      <c r="AH50" s="87"/>
      <c r="AI50" s="87"/>
      <c r="AJ50" s="87"/>
      <c r="AK50" s="87"/>
      <c r="AL50" s="858">
        <f>AM50+AN50</f>
        <v>0</v>
      </c>
      <c r="AM50" s="87">
        <f>AM49*AM48/1000</f>
        <v>0</v>
      </c>
      <c r="AN50" s="87">
        <f>AN49*AN48/1000</f>
        <v>0</v>
      </c>
      <c r="AO50" s="858">
        <f>AP50+AQ50</f>
        <v>0</v>
      </c>
      <c r="AP50" s="1809">
        <f>AP49*AP48/1000</f>
        <v>0</v>
      </c>
      <c r="AQ50" s="1809">
        <f>AQ49*AQ48/1000</f>
        <v>0</v>
      </c>
      <c r="AR50" s="858">
        <f>AS50+AT50</f>
        <v>0</v>
      </c>
      <c r="AS50" s="1809">
        <f>AS49*AS48/1000</f>
        <v>0</v>
      </c>
      <c r="AT50" s="1809">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809">
        <f>BT49*BT48/1000</f>
        <v>0</v>
      </c>
      <c r="BU50" s="1809">
        <f>BU49*BU48/1000</f>
        <v>0</v>
      </c>
      <c r="BV50" s="858">
        <f>BW50+BX50</f>
        <v>0</v>
      </c>
      <c r="BW50" s="1809">
        <f>BW49*BW48/1000</f>
        <v>0</v>
      </c>
      <c r="BX50" s="1809">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771</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64"/>
      <c r="AD51" s="157">
        <v>16</v>
      </c>
      <c r="AE51" s="1474" t="s">
        <v>772</v>
      </c>
      <c r="AF51" s="165"/>
      <c r="AG51" s="157" t="s">
        <v>763</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773</v>
      </c>
    </row>
    <row customHeight="1" ht="16.672500000000003" hidden="1">
      <c r="E52" s="794">
        <v>17.1</v>
      </c>
      <c r="F52" s="920" cm="1" t="str">
        <f t="array" ref="F52:F52">OFFSET(G52,-1,-1)</f>
        <v>0</v>
      </c>
      <c r="L52" s="920" cm="1" t="str">
        <f t="array" ref="L52:L52">OFFSET(M52,-1,-1)</f>
        <v>false</v>
      </c>
      <c r="R52" s="920" t="s">
        <v>719</v>
      </c>
      <c r="S52" s="156" cm="1" t="str">
        <f t="array" ref="S52:S52">OFFSET(T52,-1,-1)</f>
        <v>false</v>
      </c>
      <c r="T52" s="156" cm="1" t="str">
        <f t="array" ref="T52:T52">L52</f>
        <v>false</v>
      </c>
      <c r="U52" s="816">
        <f>AND(S52,IF(ISBLANK(T52),TRUE,T52))</f>
        <v>0</v>
      </c>
      <c r="AB52" s="1464"/>
      <c r="AD52" s="157">
        <v>17</v>
      </c>
      <c r="AE52" s="1474" t="s">
        <v>774</v>
      </c>
      <c r="AF52" s="165"/>
      <c r="AG52" s="157" t="s">
        <v>485</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775</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64"/>
      <c r="AD53" s="157">
        <v>18</v>
      </c>
      <c r="AE53" s="1474" t="s">
        <v>776</v>
      </c>
      <c r="AF53" s="165"/>
      <c r="AG53" s="157" t="s">
        <v>763</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777</v>
      </c>
    </row>
    <row customHeight="1" ht="16.672500000000003" hidden="1">
      <c r="E54" s="794">
        <v>17.1</v>
      </c>
      <c r="F54" s="920" cm="1" t="str">
        <f t="array" ref="F54:F54">OFFSET(G54,-1,-1)</f>
        <v>0</v>
      </c>
      <c r="L54" s="920" cm="1" t="str">
        <f t="array" ref="L54:L54">OFFSET(M54,-1,-1)</f>
        <v>false</v>
      </c>
      <c r="R54" s="920" t="s">
        <v>719</v>
      </c>
      <c r="S54" s="156" cm="1" t="str">
        <f t="array" ref="S54:S54">OFFSET(T54,-1,-1)</f>
        <v>false</v>
      </c>
      <c r="T54" s="156" cm="1" t="str">
        <f t="array" ref="T54:T54">L54</f>
        <v>false</v>
      </c>
      <c r="U54" s="816">
        <f>AND(S54,IF(ISBLANK(T54),TRUE,T54))</f>
        <v>0</v>
      </c>
      <c r="AB54" s="1464"/>
      <c r="AD54" s="157" t="s">
        <v>778</v>
      </c>
      <c r="AE54" s="1474" t="s">
        <v>730</v>
      </c>
      <c r="AF54" s="165"/>
      <c r="AG54" s="157" t="s">
        <v>763</v>
      </c>
      <c r="AH54" s="87">
        <f>AH$52*AH53</f>
        <v>0</v>
      </c>
      <c r="AI54" s="88">
        <f>AI$52*AI53</f>
        <v>0</v>
      </c>
      <c r="AJ54" s="88">
        <f>AJ$52*AJ53</f>
        <v>0</v>
      </c>
      <c r="AK54" s="88">
        <f>AK$52*AK53</f>
        <v>0</v>
      </c>
      <c r="AL54" s="858">
        <f>AM54+AN54</f>
        <v>0</v>
      </c>
      <c r="AM54" s="88">
        <f>AM$52*AM53</f>
        <v>0</v>
      </c>
      <c r="AN54" s="88">
        <f>AN$52*AN53</f>
        <v>0</v>
      </c>
      <c r="AO54" s="858">
        <f>AP54+AQ54</f>
        <v>0</v>
      </c>
      <c r="AP54" s="1806">
        <f>AP$52*AP53</f>
        <v>0</v>
      </c>
      <c r="AQ54" s="1806">
        <f>AQ$52*AQ53</f>
        <v>0</v>
      </c>
      <c r="AR54" s="858">
        <f>AS54+AT54</f>
        <v>0</v>
      </c>
      <c r="AS54" s="1806">
        <f>AS$52*AS53</f>
        <v>0</v>
      </c>
      <c r="AT54" s="1806">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806">
        <f>BT$52*BT53</f>
        <v>0</v>
      </c>
      <c r="BU54" s="1806">
        <f>BU$52*BU53</f>
        <v>0</v>
      </c>
      <c r="BV54" s="858">
        <f>BW54+BX54</f>
        <v>0</v>
      </c>
      <c r="BW54" s="1806">
        <f>BW$52*BW53</f>
        <v>0</v>
      </c>
      <c r="BX54" s="1806">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779</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235</v>
      </c>
      <c r="AB55" s="1464"/>
      <c r="AC55" s="915" t="s">
        <v>219</v>
      </c>
      <c r="AD55" s="157" t="s">
        <v>778</v>
      </c>
      <c r="AE55" s="89"/>
      <c r="AF55" s="90"/>
      <c r="AG55" s="157" t="s">
        <v>763</v>
      </c>
      <c r="AH55" s="87">
        <f>AH$51*AH58</f>
        <v>0</v>
      </c>
      <c r="AI55" s="87">
        <f>AI64*AI61</f>
        <v>0</v>
      </c>
      <c r="AJ55" s="87">
        <f>AJ64*AJ61</f>
        <v>0</v>
      </c>
      <c r="AK55" s="87">
        <f>AK$51*AK58</f>
        <v>0</v>
      </c>
      <c r="AL55" s="858">
        <f>AM55+AN55</f>
        <v>0</v>
      </c>
      <c r="AM55" s="87">
        <f>AM$51*AM58</f>
        <v>0</v>
      </c>
      <c r="AN55" s="87">
        <f>AN$51*AN58</f>
        <v>0</v>
      </c>
      <c r="AO55" s="858">
        <f>AP55+AQ55</f>
        <v>0</v>
      </c>
      <c r="AP55" s="1809">
        <f>AP$51*AP58</f>
        <v>0</v>
      </c>
      <c r="AQ55" s="1809">
        <f>AQ$51*AQ58</f>
        <v>0</v>
      </c>
      <c r="AR55" s="858">
        <f>AS55+AT55</f>
        <v>0</v>
      </c>
      <c r="AS55" s="1809">
        <f>AS$51*AS58</f>
        <v>0</v>
      </c>
      <c r="AT55" s="1809">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809">
        <f>BT$51*BT58</f>
        <v>0</v>
      </c>
      <c r="BU55" s="1809">
        <f>BU$51*BU58</f>
        <v>0</v>
      </c>
      <c r="BV55" s="858">
        <f>BW55+BX55</f>
        <v>0</v>
      </c>
      <c r="BW55" s="1809">
        <f>BW$51*BW58</f>
        <v>0</v>
      </c>
      <c r="BX55" s="1809">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780</v>
      </c>
      <c r="CX55" s="1176" t="s">
        <v>781</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64"/>
      <c r="AD56" s="299"/>
      <c r="AE56" s="901"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781</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64"/>
      <c r="AD57" s="157">
        <v>19</v>
      </c>
      <c r="AE57" s="1501" t="s">
        <v>782</v>
      </c>
      <c r="AF57" s="1502"/>
      <c r="AG57" s="640" t="s">
        <v>485</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783</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235</v>
      </c>
      <c r="AB58" s="1464"/>
      <c r="AD58" s="157" t="s">
        <v>784</v>
      </c>
      <c r="AE58" s="972"/>
      <c r="AF58" s="622"/>
      <c r="AG58" s="157" t="s">
        <v>485</v>
      </c>
      <c r="AH58" s="91"/>
      <c r="AI58" s="91">
        <f>_xlfn.IFERROR(AI55/AI$53,0)</f>
        <v>0</v>
      </c>
      <c r="AJ58" s="91">
        <f>_xlfn.IFERROR(AJ55/AJ$53,0)</f>
        <v>0</v>
      </c>
      <c r="AK58" s="91"/>
      <c r="AL58" s="864">
        <f>_xlfn.IFERROR(AL55/AL$51,0)</f>
        <v>0</v>
      </c>
      <c r="AM58" s="91"/>
      <c r="AN58" s="91"/>
      <c r="AO58" s="864">
        <f>_xlfn.IFERROR(AO55/AO$51,0)</f>
        <v>0</v>
      </c>
      <c r="AP58" s="1813"/>
      <c r="AQ58" s="1813"/>
      <c r="AR58" s="864">
        <f>_xlfn.IFERROR(AR55/AR$51,0)</f>
        <v>0</v>
      </c>
      <c r="AS58" s="1813"/>
      <c r="AT58" s="1813"/>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813"/>
      <c r="BU58" s="1813"/>
      <c r="BV58" s="864">
        <f>_xlfn.IFERROR(BV55/BV$51,0)</f>
        <v>0</v>
      </c>
      <c r="BW58" s="1813"/>
      <c r="BX58" s="1813"/>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783</v>
      </c>
      <c r="CX58" s="1176" t="s">
        <v>781</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64"/>
      <c r="AD59" s="974"/>
      <c r="AE59" s="973" t="s">
        <v>237</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64"/>
      <c r="AD60" s="157">
        <v>20</v>
      </c>
      <c r="AE60" s="1474" t="s">
        <v>785</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786</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235</v>
      </c>
      <c r="AB61" s="1464"/>
      <c r="AD61" s="157" t="s">
        <v>787</v>
      </c>
      <c r="AE61" s="972"/>
      <c r="AF61" s="622"/>
      <c r="AG61" s="738"/>
      <c r="AH61" s="87"/>
      <c r="AI61" s="88"/>
      <c r="AJ61" s="88"/>
      <c r="AK61" s="88"/>
      <c r="AL61" s="860">
        <f>_xlfn.IFERROR(AL55/AL64,0)</f>
        <v>0</v>
      </c>
      <c r="AM61" s="88"/>
      <c r="AN61" s="88" cm="1" t="str">
        <f t="array" ref="AN61:AN61">AM61</f>
        <v>0</v>
      </c>
      <c r="AO61" s="860">
        <f>_xlfn.IFERROR(AO55/AO64,0)</f>
        <v>0</v>
      </c>
      <c r="AP61" s="1806"/>
      <c r="AQ61" s="1806" cm="1" t="str">
        <f t="array" ref="AQ61:AQ61">AP61</f>
        <v>0</v>
      </c>
      <c r="AR61" s="860">
        <f>_xlfn.IFERROR(AR55/AR64,0)</f>
        <v>0</v>
      </c>
      <c r="AS61" s="1806"/>
      <c r="AT61" s="1806"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806"/>
      <c r="BU61" s="1806" cm="1" t="str">
        <f t="array" ref="BU61:BU61">BT61</f>
        <v>0</v>
      </c>
      <c r="BV61" s="860">
        <f>_xlfn.IFERROR(BV55/BV64,0)</f>
        <v>0</v>
      </c>
      <c r="BW61" s="1806"/>
      <c r="BX61" s="1806"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786</v>
      </c>
      <c r="CX61" s="1176" t="s">
        <v>781</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64"/>
      <c r="AD62" s="974"/>
      <c r="AE62" s="973" t="s">
        <v>237</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64"/>
      <c r="AD63" s="157">
        <v>21</v>
      </c>
      <c r="AE63" s="1484" t="s">
        <v>788</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789</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235</v>
      </c>
      <c r="AB64" s="1464"/>
      <c r="AD64" s="157" t="s">
        <v>790</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806">
        <f>_xlfn.IFERROR(AP55/AP61,0)</f>
        <v>0</v>
      </c>
      <c r="AQ64" s="1806">
        <f>_xlfn.IFERROR(AQ55/AQ61,0)</f>
        <v>0</v>
      </c>
      <c r="AR64" s="858">
        <f>AS64+AT64</f>
        <v>0</v>
      </c>
      <c r="AS64" s="1806">
        <f>_xlfn.IFERROR(AS55/AS61,0)</f>
        <v>0</v>
      </c>
      <c r="AT64" s="1806">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806">
        <f>_xlfn.IFERROR(BT55/BT61,0)</f>
        <v>0</v>
      </c>
      <c r="BU64" s="1806">
        <f>_xlfn.IFERROR(BU55/BU61,0)</f>
        <v>0</v>
      </c>
      <c r="BV64" s="858">
        <f>BW64+BX64</f>
        <v>0</v>
      </c>
      <c r="BW64" s="1806">
        <f>_xlfn.IFERROR(BW55/BW61,0)</f>
        <v>0</v>
      </c>
      <c r="BX64" s="1806">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789</v>
      </c>
      <c r="CX64" s="1176" t="s">
        <v>781</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65"/>
      <c r="AD65" s="974"/>
      <c r="AE65" s="973" t="s">
        <v>237</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60" t="s">
        <v>791</v>
      </c>
      <c r="AD66" s="157">
        <v>22</v>
      </c>
      <c r="AE66" s="1474" t="s">
        <v>792</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793</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235</v>
      </c>
      <c r="AB67" s="1461"/>
      <c r="AD67" s="157" t="s">
        <v>794</v>
      </c>
      <c r="AE67" s="972"/>
      <c r="AF67" s="622"/>
      <c r="AG67" s="1012" t="s">
        <v>485</v>
      </c>
      <c r="AH67" s="93"/>
      <c r="AI67" s="94"/>
      <c r="AJ67" s="94"/>
      <c r="AK67" s="94"/>
      <c r="AL67" s="1038"/>
      <c r="AM67" s="94"/>
      <c r="AN67" s="94"/>
      <c r="AO67" s="1038"/>
      <c r="AP67" s="1818"/>
      <c r="AQ67" s="1818"/>
      <c r="AR67" s="1038"/>
      <c r="AS67" s="1818"/>
      <c r="AT67" s="1818"/>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818"/>
      <c r="BU67" s="1818"/>
      <c r="BV67" s="1038"/>
      <c r="BW67" s="1818"/>
      <c r="BX67" s="1818"/>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793</v>
      </c>
      <c r="CX67" s="1176" t="s">
        <v>781</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61"/>
      <c r="AD68" s="974"/>
      <c r="AE68" s="973" t="s">
        <v>237</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61"/>
      <c r="AD69" s="157">
        <v>23</v>
      </c>
      <c r="AE69" s="1474" t="s">
        <v>795</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796</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235</v>
      </c>
      <c r="AB70" s="1461"/>
      <c r="AD70" s="157" t="s">
        <v>797</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806"/>
      <c r="AQ70" s="1806"/>
      <c r="AR70" s="860">
        <f>_xlfn.IFERROR(AR74/AR64,0)*1000</f>
        <v>0</v>
      </c>
      <c r="AS70" s="1806"/>
      <c r="AT70" s="1806"/>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806"/>
      <c r="BU70" s="1806"/>
      <c r="BV70" s="860">
        <f>_xlfn.IFERROR(BV74/BV64,0)*1000</f>
        <v>0</v>
      </c>
      <c r="BW70" s="1806"/>
      <c r="BX70" s="1806"/>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796</v>
      </c>
      <c r="CX70" s="1176" t="s">
        <v>781</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61"/>
      <c r="AD71" s="974"/>
      <c r="AE71" s="973" t="s">
        <v>237</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61"/>
      <c r="AD72" s="157">
        <v>24</v>
      </c>
      <c r="AE72" s="1474" t="s">
        <v>798</v>
      </c>
      <c r="AF72" s="165"/>
      <c r="AG72" s="1012" t="s">
        <v>799</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800</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719</v>
      </c>
      <c r="S73" s="156" cm="1" t="str">
        <f t="array" ref="S73:S73">OFFSET(T73,-1,-1)</f>
        <v>false</v>
      </c>
      <c r="T73" s="920" t="b">
        <v>0</v>
      </c>
      <c r="U73" s="816">
        <f>AND(S73,IF(ISBLANK(T73),TRUE,T73))</f>
        <v>0</v>
      </c>
      <c r="AB73" s="1461"/>
      <c r="AD73" s="157" t="str">
        <f>AD72&amp;".0"</f>
        <v>24.0</v>
      </c>
      <c r="AE73" s="1486" t="s">
        <v>730</v>
      </c>
      <c r="AF73" s="162"/>
      <c r="AG73" s="1012" t="s">
        <v>799</v>
      </c>
      <c r="AH73" s="87">
        <f>AH$52*AH72/1000</f>
        <v>0</v>
      </c>
      <c r="AI73" s="87">
        <f>AI$52*AI72/1000</f>
        <v>0</v>
      </c>
      <c r="AJ73" s="87">
        <f>AJ$52*AJ72/1000</f>
        <v>0</v>
      </c>
      <c r="AK73" s="87">
        <f>AK$52*AK72/1000</f>
        <v>0</v>
      </c>
      <c r="AL73" s="860">
        <f>AM73+AN73</f>
        <v>0</v>
      </c>
      <c r="AM73" s="88">
        <f>AM$52*AM72</f>
        <v>0</v>
      </c>
      <c r="AN73" s="88">
        <f>AN$52*AN72</f>
        <v>0</v>
      </c>
      <c r="AO73" s="860">
        <f>AP73+AQ73</f>
        <v>0</v>
      </c>
      <c r="AP73" s="1806">
        <f>AP$52*AP72</f>
        <v>0</v>
      </c>
      <c r="AQ73" s="1806">
        <f>AQ$52*AQ72</f>
        <v>0</v>
      </c>
      <c r="AR73" s="860">
        <f>AS73+AT73</f>
        <v>0</v>
      </c>
      <c r="AS73" s="1806">
        <f>AS$52*AS72</f>
        <v>0</v>
      </c>
      <c r="AT73" s="1806">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806">
        <f>BT$52*BT72</f>
        <v>0</v>
      </c>
      <c r="BU73" s="1806">
        <f>BU$52*BU72</f>
        <v>0</v>
      </c>
      <c r="BV73" s="860">
        <f>BW73+BX73</f>
        <v>0</v>
      </c>
      <c r="BW73" s="1806">
        <f>BW$52*BW72</f>
        <v>0</v>
      </c>
      <c r="BX73" s="1806">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801</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235</v>
      </c>
      <c r="AB74" s="1461"/>
      <c r="AD74" s="157" t="s">
        <v>802</v>
      </c>
      <c r="AE74" s="972"/>
      <c r="AF74" s="622"/>
      <c r="AG74" s="1012" t="s">
        <v>799</v>
      </c>
      <c r="AH74" s="87"/>
      <c r="AI74" s="88"/>
      <c r="AJ74" s="88"/>
      <c r="AK74" s="88"/>
      <c r="AL74" s="860">
        <f>AM74+AN74</f>
        <v>0</v>
      </c>
      <c r="AM74" s="88">
        <f>AM70*AM64/1000</f>
        <v>0</v>
      </c>
      <c r="AN74" s="88">
        <f>AN70*AN64/1000</f>
        <v>0</v>
      </c>
      <c r="AO74" s="860">
        <f>AP74+AQ74</f>
        <v>0</v>
      </c>
      <c r="AP74" s="1806">
        <f>AP70*AP64/1000</f>
        <v>0</v>
      </c>
      <c r="AQ74" s="1806">
        <f>AQ70*AQ64/1000</f>
        <v>0</v>
      </c>
      <c r="AR74" s="860">
        <f>AS74+AT74</f>
        <v>0</v>
      </c>
      <c r="AS74" s="1806">
        <f>AS70*AS64/1000</f>
        <v>0</v>
      </c>
      <c r="AT74" s="1806">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806">
        <f>BT70*BT64/1000</f>
        <v>0</v>
      </c>
      <c r="BU74" s="1806">
        <f>BU70*BU64/1000</f>
        <v>0</v>
      </c>
      <c r="BV74" s="860">
        <f>BW74+BX74</f>
        <v>0</v>
      </c>
      <c r="BW74" s="1806">
        <f>BW70*BW64/1000</f>
        <v>0</v>
      </c>
      <c r="BX74" s="1806">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801</v>
      </c>
      <c r="CX74" s="1176" t="s">
        <v>781</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61"/>
      <c r="AD75" s="974"/>
      <c r="AE75" s="973" t="s">
        <v>237</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719</v>
      </c>
      <c r="S76" s="156" cm="1" t="str">
        <f t="array" ref="S76:S76">OFFSET(T76,-1,-1)</f>
        <v>false</v>
      </c>
      <c r="T76" s="156" cm="1" t="str">
        <f t="array" ref="T76:T76">L76</f>
        <v>false</v>
      </c>
      <c r="U76" s="816">
        <f>AND(S76,IF(ISBLANK(T76),TRUE,T76))</f>
        <v>0</v>
      </c>
      <c r="AB76" s="1461"/>
      <c r="AD76" s="157">
        <v>25</v>
      </c>
      <c r="AE76" s="1484" t="s">
        <v>803</v>
      </c>
      <c r="AF76" s="159"/>
      <c r="AG76" s="1012" t="s">
        <v>799</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804</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719</v>
      </c>
      <c r="S77" s="156" cm="1" t="str">
        <f t="array" ref="S77:S77">OFFSET(T77,-1,-1)</f>
        <v>false</v>
      </c>
      <c r="T77" s="156">
        <f>AND(L77,AD77&lt;&gt;"25.0")</f>
        <v>0</v>
      </c>
      <c r="U77" s="816">
        <f>AND(S77,IF(ISBLANK(T77),TRUE,T77))</f>
        <v>0</v>
      </c>
      <c r="X77" s="156" t="s">
        <v>235</v>
      </c>
      <c r="AB77" s="1461"/>
      <c r="AD77" s="157" t="s">
        <v>805</v>
      </c>
      <c r="AE77" s="972"/>
      <c r="AF77" s="622"/>
      <c r="AG77" s="1012" t="s">
        <v>799</v>
      </c>
      <c r="AH77" s="87">
        <f>AH$52*AH74</f>
        <v>0</v>
      </c>
      <c r="AI77" s="88">
        <f>AI$52*AI74</f>
        <v>0</v>
      </c>
      <c r="AJ77" s="88">
        <f>AJ$52*AJ74</f>
        <v>0</v>
      </c>
      <c r="AK77" s="88">
        <f>AK$52*AK74</f>
        <v>0</v>
      </c>
      <c r="AL77" s="860">
        <f>AM77+AN77</f>
        <v>0</v>
      </c>
      <c r="AM77" s="88">
        <f>AM$52*AM74</f>
        <v>0</v>
      </c>
      <c r="AN77" s="88">
        <f>AN$52*AN74</f>
        <v>0</v>
      </c>
      <c r="AO77" s="860">
        <f>AP77+AQ77</f>
        <v>0</v>
      </c>
      <c r="AP77" s="1806">
        <f>AP$52*AP74</f>
        <v>0</v>
      </c>
      <c r="AQ77" s="1806">
        <f>AQ$52*AQ74</f>
        <v>0</v>
      </c>
      <c r="AR77" s="860">
        <f>AS77+AT77</f>
        <v>0</v>
      </c>
      <c r="AS77" s="1806">
        <f>AS$52*AS74</f>
        <v>0</v>
      </c>
      <c r="AT77" s="1806">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806">
        <f>BT$52*BT74</f>
        <v>0</v>
      </c>
      <c r="BU77" s="1806">
        <f>BU$52*BU74</f>
        <v>0</v>
      </c>
      <c r="BV77" s="860">
        <f>BW77+BX77</f>
        <v>0</v>
      </c>
      <c r="BW77" s="1806">
        <f>BW$52*BW74</f>
        <v>0</v>
      </c>
      <c r="BX77" s="1806">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804</v>
      </c>
      <c r="CX77" s="1176" t="s">
        <v>781</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62"/>
      <c r="AD78" s="974"/>
      <c r="AE78" s="973" t="s">
        <v>237</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466" t="s">
        <v>806</v>
      </c>
      <c r="AD79" s="170">
        <v>26</v>
      </c>
      <c r="AE79" s="1472" t="s">
        <v>807</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808</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235</v>
      </c>
      <c r="AB80" s="1467"/>
      <c r="AD80" s="157" t="s">
        <v>809</v>
      </c>
      <c r="AE80" s="972"/>
      <c r="AF80" s="622"/>
      <c r="AG80" s="857" t="s">
        <v>485</v>
      </c>
      <c r="AH80" s="91"/>
      <c r="AI80" s="95"/>
      <c r="AJ80" s="95"/>
      <c r="AK80" s="95"/>
      <c r="AL80" s="861"/>
      <c r="AM80" s="88"/>
      <c r="AN80" s="88"/>
      <c r="AO80" s="861"/>
      <c r="AP80" s="1819"/>
      <c r="AQ80" s="1819"/>
      <c r="AR80" s="861"/>
      <c r="AS80" s="1819"/>
      <c r="AT80" s="1819"/>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819"/>
      <c r="BU80" s="1819"/>
      <c r="BV80" s="861"/>
      <c r="BW80" s="1819"/>
      <c r="BX80" s="1819"/>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808</v>
      </c>
      <c r="CX80" s="1176" t="s">
        <v>781</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467"/>
      <c r="AD81" s="974"/>
      <c r="AE81" s="973" t="s">
        <v>237</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467"/>
      <c r="AD82" s="170">
        <v>27</v>
      </c>
      <c r="AE82" s="1472" t="s">
        <v>810</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811</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235</v>
      </c>
      <c r="AB83" s="1467"/>
      <c r="AD83" s="157" t="s">
        <v>812</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806"/>
      <c r="AQ83" s="1806"/>
      <c r="AR83" s="860">
        <f>_xlfn.IFERROR(AR87/AR64,0)*1000</f>
        <v>0</v>
      </c>
      <c r="AS83" s="1806"/>
      <c r="AT83" s="1806"/>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806"/>
      <c r="BU83" s="1806"/>
      <c r="BV83" s="860">
        <f>_xlfn.IFERROR(BV87/BV64,0)*1000</f>
        <v>0</v>
      </c>
      <c r="BW83" s="1806"/>
      <c r="BX83" s="1806"/>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811</v>
      </c>
      <c r="CX83" s="1176" t="s">
        <v>781</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467"/>
      <c r="AD84" s="974"/>
      <c r="AE84" s="973" t="s">
        <v>237</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467"/>
      <c r="AD85" s="170">
        <v>28</v>
      </c>
      <c r="AE85" s="1472" t="s">
        <v>813</v>
      </c>
      <c r="AF85" s="320"/>
      <c r="AG85" s="857" t="s">
        <v>799</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814</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719</v>
      </c>
      <c r="S86" s="156" cm="1" t="str">
        <f t="array" ref="S86:S86">OFFSET(T86,-1,-1)</f>
        <v>false</v>
      </c>
      <c r="T86" s="920" t="b">
        <v>0</v>
      </c>
      <c r="U86" s="816">
        <f>AND(S86,IF(ISBLANK(T86),TRUE,T86))</f>
        <v>0</v>
      </c>
      <c r="AB86" s="1467"/>
      <c r="AD86" s="157" t="str">
        <f>AD85&amp;".0"</f>
        <v>28.0</v>
      </c>
      <c r="AE86" s="1347" t="s">
        <v>730</v>
      </c>
      <c r="AF86" s="161"/>
      <c r="AG86" s="857" t="s">
        <v>799</v>
      </c>
      <c r="AH86" s="87">
        <f>AH$52*AH85</f>
        <v>0</v>
      </c>
      <c r="AI86" s="88">
        <f>AI$52*AI85</f>
        <v>0</v>
      </c>
      <c r="AJ86" s="88">
        <f>AJ$52*AJ85</f>
        <v>0</v>
      </c>
      <c r="AK86" s="88">
        <f>AK$52*AK85</f>
        <v>0</v>
      </c>
      <c r="AL86" s="860">
        <f>AM86+AN86</f>
        <v>0</v>
      </c>
      <c r="AM86" s="88">
        <f>AM$52*AM85</f>
        <v>0</v>
      </c>
      <c r="AN86" s="88">
        <f>AN$52*AN85</f>
        <v>0</v>
      </c>
      <c r="AO86" s="860">
        <f>AP86+AQ86</f>
        <v>0</v>
      </c>
      <c r="AP86" s="1806">
        <f>AP$52*AP85</f>
        <v>0</v>
      </c>
      <c r="AQ86" s="1806">
        <f>AQ$52*AQ85</f>
        <v>0</v>
      </c>
      <c r="AR86" s="860">
        <f>AS86+AT86</f>
        <v>0</v>
      </c>
      <c r="AS86" s="1806">
        <f>AS$52*AS85</f>
        <v>0</v>
      </c>
      <c r="AT86" s="1806">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806">
        <f>BT$52*BT85</f>
        <v>0</v>
      </c>
      <c r="BU86" s="1806">
        <f>BU$52*BU85</f>
        <v>0</v>
      </c>
      <c r="BV86" s="860">
        <f>BW86+BX86</f>
        <v>0</v>
      </c>
      <c r="BW86" s="1806">
        <f>BW$52*BW85</f>
        <v>0</v>
      </c>
      <c r="BX86" s="1806">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815</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235</v>
      </c>
      <c r="AB87" s="1467"/>
      <c r="AD87" s="157" t="s">
        <v>816</v>
      </c>
      <c r="AE87" s="972"/>
      <c r="AF87" s="622"/>
      <c r="AG87" s="857" t="s">
        <v>799</v>
      </c>
      <c r="AH87" s="87"/>
      <c r="AI87" s="88"/>
      <c r="AJ87" s="88"/>
      <c r="AK87" s="88"/>
      <c r="AL87" s="860">
        <f>AM87+AN87</f>
        <v>0</v>
      </c>
      <c r="AM87" s="88">
        <f>AM83*AM64/1000</f>
        <v>0</v>
      </c>
      <c r="AN87" s="88">
        <f>AN83*AN64/1000</f>
        <v>0</v>
      </c>
      <c r="AO87" s="860">
        <f>AP87+AQ87</f>
        <v>0</v>
      </c>
      <c r="AP87" s="1806">
        <f>AP83*AP64/1000</f>
        <v>0</v>
      </c>
      <c r="AQ87" s="1806">
        <f>AQ83*AQ64/1000</f>
        <v>0</v>
      </c>
      <c r="AR87" s="860">
        <f>AS87+AT87</f>
        <v>0</v>
      </c>
      <c r="AS87" s="1806">
        <f>AS83*AS64/1000</f>
        <v>0</v>
      </c>
      <c r="AT87" s="1806">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806">
        <f>BT83*BT64/1000</f>
        <v>0</v>
      </c>
      <c r="BU87" s="1806">
        <f>BU83*BU64/1000</f>
        <v>0</v>
      </c>
      <c r="BV87" s="860">
        <f>BW87+BX87</f>
        <v>0</v>
      </c>
      <c r="BW87" s="1806">
        <f>BW83*BW64/1000</f>
        <v>0</v>
      </c>
      <c r="BX87" s="1806">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815</v>
      </c>
      <c r="CX87" s="1176" t="s">
        <v>781</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467"/>
      <c r="AD88" s="974"/>
      <c r="AE88" s="973" t="s">
        <v>237</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719</v>
      </c>
      <c r="S89" s="156" cm="1" t="str">
        <f t="array" ref="S89:S89">OFFSET(T89,-1,-1)</f>
        <v>false</v>
      </c>
      <c r="T89" s="156" cm="1" t="str">
        <f t="array" ref="T89:T89">L89</f>
        <v>false</v>
      </c>
      <c r="U89" s="816">
        <f>AND(S89,IF(ISBLANK(T89),TRUE,T89))</f>
        <v>0</v>
      </c>
      <c r="AB89" s="1467"/>
      <c r="AD89" s="170">
        <v>29</v>
      </c>
      <c r="AE89" s="1478" t="s">
        <v>817</v>
      </c>
      <c r="AF89" s="160"/>
      <c r="AG89" s="857" t="s">
        <v>799</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818</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719</v>
      </c>
      <c r="S90" s="156" cm="1" t="str">
        <f t="array" ref="S90:S90">OFFSET(T90,-1,-1)</f>
        <v>false</v>
      </c>
      <c r="T90" s="156">
        <f>AND(L90,AD90&lt;&gt;"29.0")</f>
        <v>0</v>
      </c>
      <c r="U90" s="816">
        <f>AND(S90,IF(ISBLANK(T90),TRUE,T90))</f>
        <v>0</v>
      </c>
      <c r="X90" s="156" t="s">
        <v>235</v>
      </c>
      <c r="AB90" s="1467"/>
      <c r="AD90" s="157" t="s">
        <v>819</v>
      </c>
      <c r="AE90" s="972"/>
      <c r="AF90" s="622"/>
      <c r="AG90" s="857" t="s">
        <v>799</v>
      </c>
      <c r="AH90" s="87">
        <f>AH$52*AH87</f>
        <v>0</v>
      </c>
      <c r="AI90" s="88">
        <f>AI$52*AI87</f>
        <v>0</v>
      </c>
      <c r="AJ90" s="88">
        <f>AJ$52*AJ87</f>
        <v>0</v>
      </c>
      <c r="AK90" s="88">
        <f>AK$52*AK87</f>
        <v>0</v>
      </c>
      <c r="AL90" s="860">
        <f>AM90+AN90</f>
        <v>0</v>
      </c>
      <c r="AM90" s="88">
        <f>AM$52*AM87</f>
        <v>0</v>
      </c>
      <c r="AN90" s="88">
        <f>AN$52*AN87</f>
        <v>0</v>
      </c>
      <c r="AO90" s="860">
        <f>AP90+AQ90</f>
        <v>0</v>
      </c>
      <c r="AP90" s="1806">
        <f>AP$52*AP87</f>
        <v>0</v>
      </c>
      <c r="AQ90" s="1806">
        <f>AQ$52*AQ87</f>
        <v>0</v>
      </c>
      <c r="AR90" s="860">
        <f>AS90+AT90</f>
        <v>0</v>
      </c>
      <c r="AS90" s="1806">
        <f>AS$52*AS87</f>
        <v>0</v>
      </c>
      <c r="AT90" s="1806">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806">
        <f>BT$52*BT87</f>
        <v>0</v>
      </c>
      <c r="BU90" s="1806">
        <f>BU$52*BU87</f>
        <v>0</v>
      </c>
      <c r="BV90" s="860">
        <f>BW90+BX90</f>
        <v>0</v>
      </c>
      <c r="BW90" s="1806">
        <f>BW$52*BW87</f>
        <v>0</v>
      </c>
      <c r="BX90" s="1806">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818</v>
      </c>
      <c r="CX90" s="1176" t="s">
        <v>781</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468"/>
      <c r="AD91" s="974"/>
      <c r="AE91" s="973" t="s">
        <v>237</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469" t="s">
        <v>820</v>
      </c>
      <c r="AD92" s="170" t="s">
        <v>821</v>
      </c>
      <c r="AE92" s="1472" t="s">
        <v>822</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823</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235</v>
      </c>
      <c r="AB93" s="1470"/>
      <c r="AD93" s="157" t="s">
        <v>824</v>
      </c>
      <c r="AE93" s="972"/>
      <c r="AF93" s="622"/>
      <c r="AG93" s="857" t="s">
        <v>485</v>
      </c>
      <c r="AH93" s="91"/>
      <c r="AI93" s="95"/>
      <c r="AJ93" s="95"/>
      <c r="AK93" s="95"/>
      <c r="AL93" s="861"/>
      <c r="AM93" s="95"/>
      <c r="AN93" s="95"/>
      <c r="AO93" s="861"/>
      <c r="AP93" s="1819"/>
      <c r="AQ93" s="1819"/>
      <c r="AR93" s="861"/>
      <c r="AS93" s="1819"/>
      <c r="AT93" s="1819"/>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819"/>
      <c r="BU93" s="1819"/>
      <c r="BV93" s="861"/>
      <c r="BW93" s="1819"/>
      <c r="BX93" s="1819"/>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823</v>
      </c>
      <c r="CX93" s="1176" t="s">
        <v>781</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470"/>
      <c r="AD94" s="974"/>
      <c r="AE94" s="973" t="s">
        <v>237</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470"/>
      <c r="AD95" s="170" t="s">
        <v>825</v>
      </c>
      <c r="AE95" s="1472" t="s">
        <v>826</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827</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235</v>
      </c>
      <c r="AB96" s="1470"/>
      <c r="AD96" s="157" t="s">
        <v>828</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806"/>
      <c r="AQ96" s="1806"/>
      <c r="AR96" s="860">
        <f>_xlfn.IFERROR(AR100/AR64,0)*1000</f>
        <v>0</v>
      </c>
      <c r="AS96" s="1806"/>
      <c r="AT96" s="1806"/>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806"/>
      <c r="BU96" s="1806"/>
      <c r="BV96" s="860">
        <f>_xlfn.IFERROR(BV100/BV64,0)*1000</f>
        <v>0</v>
      </c>
      <c r="BW96" s="1806"/>
      <c r="BX96" s="1806"/>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827</v>
      </c>
      <c r="CX96" s="1176" t="s">
        <v>781</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470"/>
      <c r="AD97" s="974"/>
      <c r="AE97" s="973" t="s">
        <v>237</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470"/>
      <c r="AD98" s="170" t="s">
        <v>829</v>
      </c>
      <c r="AE98" s="1472" t="s">
        <v>830</v>
      </c>
      <c r="AF98" s="320"/>
      <c r="AG98" s="857" t="s">
        <v>799</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831</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719</v>
      </c>
      <c r="S99" s="156" cm="1" t="str">
        <f t="array" ref="S99:S99">OFFSET(T99,-1,-1)</f>
        <v>false</v>
      </c>
      <c r="T99" s="920" t="b">
        <v>0</v>
      </c>
      <c r="U99" s="816">
        <f>AND(S99,IF(ISBLANK(T99),TRUE,T99))</f>
        <v>0</v>
      </c>
      <c r="AB99" s="1470"/>
      <c r="AD99" s="157" t="str">
        <f>AD98&amp;".0"</f>
        <v>32.0</v>
      </c>
      <c r="AE99" s="1347" t="s">
        <v>730</v>
      </c>
      <c r="AF99" s="161"/>
      <c r="AG99" s="857" t="s">
        <v>799</v>
      </c>
      <c r="AH99" s="87">
        <f>AH52*AH98</f>
        <v>0</v>
      </c>
      <c r="AI99" s="88">
        <f>AI$52*AI98</f>
        <v>0</v>
      </c>
      <c r="AJ99" s="88">
        <f>AJ$52*AJ98</f>
        <v>0</v>
      </c>
      <c r="AK99" s="88">
        <f>AK$52*AK98</f>
        <v>0</v>
      </c>
      <c r="AL99" s="860">
        <f>AM99+AN99</f>
        <v>0</v>
      </c>
      <c r="AM99" s="88">
        <f>AM$52*AM98</f>
        <v>0</v>
      </c>
      <c r="AN99" s="88">
        <f>AN$52*AN98</f>
        <v>0</v>
      </c>
      <c r="AO99" s="860">
        <f>AP99+AQ99</f>
        <v>0</v>
      </c>
      <c r="AP99" s="1806">
        <f>AP$52*AP98</f>
        <v>0</v>
      </c>
      <c r="AQ99" s="1806">
        <f>AQ$52*AQ98</f>
        <v>0</v>
      </c>
      <c r="AR99" s="860">
        <f>AS99+AT99</f>
        <v>0</v>
      </c>
      <c r="AS99" s="1806">
        <f>AS$52*AS98</f>
        <v>0</v>
      </c>
      <c r="AT99" s="1806">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806">
        <f>BT$52*BT98</f>
        <v>0</v>
      </c>
      <c r="BU99" s="1806">
        <f>BU$52*BU98</f>
        <v>0</v>
      </c>
      <c r="BV99" s="860">
        <f>BW99+BX99</f>
        <v>0</v>
      </c>
      <c r="BW99" s="1806">
        <f>BW$52*BW98</f>
        <v>0</v>
      </c>
      <c r="BX99" s="1806">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832</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235</v>
      </c>
      <c r="AB100" s="1470"/>
      <c r="AD100" s="157" t="s">
        <v>833</v>
      </c>
      <c r="AE100" s="972"/>
      <c r="AF100" s="622"/>
      <c r="AG100" s="857" t="s">
        <v>799</v>
      </c>
      <c r="AH100" s="87"/>
      <c r="AI100" s="88"/>
      <c r="AJ100" s="88"/>
      <c r="AK100" s="88"/>
      <c r="AL100" s="860">
        <f>AM100+AN100</f>
        <v>0</v>
      </c>
      <c r="AM100" s="88">
        <f>AM96*AM64/1000</f>
        <v>0</v>
      </c>
      <c r="AN100" s="88">
        <f>AN96*AN64/1000</f>
        <v>0</v>
      </c>
      <c r="AO100" s="860">
        <f>AP100+AQ100</f>
        <v>0</v>
      </c>
      <c r="AP100" s="1806">
        <f>AP96*AP64/1000</f>
        <v>0</v>
      </c>
      <c r="AQ100" s="1806">
        <f>AQ96*AQ64/1000</f>
        <v>0</v>
      </c>
      <c r="AR100" s="860">
        <f>AS100+AT100</f>
        <v>0</v>
      </c>
      <c r="AS100" s="1806">
        <f>AS96*AS64/1000</f>
        <v>0</v>
      </c>
      <c r="AT100" s="1806">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806">
        <f>BT96*BT64/1000</f>
        <v>0</v>
      </c>
      <c r="BU100" s="1806">
        <f>BU96*BU64/1000</f>
        <v>0</v>
      </c>
      <c r="BV100" s="860">
        <f>BW100+BX100</f>
        <v>0</v>
      </c>
      <c r="BW100" s="1806">
        <f>BW96*BW64/1000</f>
        <v>0</v>
      </c>
      <c r="BX100" s="1806">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832</v>
      </c>
      <c r="CX100" s="1176" t="s">
        <v>781</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470"/>
      <c r="AD101" s="974"/>
      <c r="AE101" s="973" t="s">
        <v>237</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719</v>
      </c>
      <c r="S102" s="156" cm="1" t="str">
        <f t="array" ref="S102:S102">OFFSET(T102,-1,-1)</f>
        <v>false</v>
      </c>
      <c r="T102" s="156" cm="1" t="str">
        <f t="array" ref="T102:T102">L102</f>
        <v>false</v>
      </c>
      <c r="U102" s="816">
        <f>AND(S102,IF(ISBLANK(T102),TRUE,T102))</f>
        <v>0</v>
      </c>
      <c r="AB102" s="1470"/>
      <c r="AD102" s="170" t="s">
        <v>834</v>
      </c>
      <c r="AE102" s="1478" t="s">
        <v>835</v>
      </c>
      <c r="AF102" s="160"/>
      <c r="AG102" s="857" t="s">
        <v>799</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836</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719</v>
      </c>
      <c r="S103" s="156" cm="1" t="str">
        <f t="array" ref="S103:S103">OFFSET(T103,-1,-1)</f>
        <v>false</v>
      </c>
      <c r="T103" s="156">
        <f>AND(L103,AD103&lt;&gt;"33.0")</f>
        <v>0</v>
      </c>
      <c r="U103" s="816">
        <f>AND(S103,IF(ISBLANK(T103),TRUE,T103))</f>
        <v>0</v>
      </c>
      <c r="X103" s="156" t="s">
        <v>235</v>
      </c>
      <c r="AB103" s="1470"/>
      <c r="AD103" s="157" t="s">
        <v>837</v>
      </c>
      <c r="AE103" s="972"/>
      <c r="AF103" s="622"/>
      <c r="AG103" s="857" t="s">
        <v>799</v>
      </c>
      <c r="AH103" s="87">
        <f>AH$52*AH100</f>
        <v>0</v>
      </c>
      <c r="AI103" s="88">
        <f>AI$52*AI100</f>
        <v>0</v>
      </c>
      <c r="AJ103" s="88">
        <f>AJ$52*AJ100</f>
        <v>0</v>
      </c>
      <c r="AK103" s="88">
        <f>AK$52*AK100</f>
        <v>0</v>
      </c>
      <c r="AL103" s="860">
        <f>AM103+AN103</f>
        <v>0</v>
      </c>
      <c r="AM103" s="88">
        <f>AM$52*AM100</f>
        <v>0</v>
      </c>
      <c r="AN103" s="88">
        <f>AN$52*AN100</f>
        <v>0</v>
      </c>
      <c r="AO103" s="860">
        <f>AP103+AQ103</f>
        <v>0</v>
      </c>
      <c r="AP103" s="1806">
        <f>AP$52*AP100</f>
        <v>0</v>
      </c>
      <c r="AQ103" s="1806">
        <f>AQ$52*AQ100</f>
        <v>0</v>
      </c>
      <c r="AR103" s="860">
        <f>AS103+AT103</f>
        <v>0</v>
      </c>
      <c r="AS103" s="1806">
        <f>AS$52*AS100</f>
        <v>0</v>
      </c>
      <c r="AT103" s="1806">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806">
        <f>BT$52*BT100</f>
        <v>0</v>
      </c>
      <c r="BU103" s="1806">
        <f>BU$52*BU100</f>
        <v>0</v>
      </c>
      <c r="BV103" s="860">
        <f>BW103+BX103</f>
        <v>0</v>
      </c>
      <c r="BW103" s="1806">
        <f>BW$52*BW100</f>
        <v>0</v>
      </c>
      <c r="BX103" s="1806">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836</v>
      </c>
      <c r="CX103" s="1176" t="s">
        <v>781</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471"/>
      <c r="AD104" s="974"/>
      <c r="AE104" s="973" t="s">
        <v>237</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60" t="s">
        <v>838</v>
      </c>
      <c r="AD105" s="170" t="s">
        <v>839</v>
      </c>
      <c r="AE105" s="1472" t="s">
        <v>840</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841</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235</v>
      </c>
      <c r="AB106" s="1461"/>
      <c r="AD106" s="157" t="s">
        <v>842</v>
      </c>
      <c r="AE106" s="972"/>
      <c r="AF106" s="622"/>
      <c r="AG106" s="857" t="s">
        <v>485</v>
      </c>
      <c r="AH106" s="91"/>
      <c r="AI106" s="95"/>
      <c r="AJ106" s="95"/>
      <c r="AK106" s="95"/>
      <c r="AL106" s="861"/>
      <c r="AM106" s="95"/>
      <c r="AN106" s="95"/>
      <c r="AO106" s="861"/>
      <c r="AP106" s="1819"/>
      <c r="AQ106" s="1819"/>
      <c r="AR106" s="861"/>
      <c r="AS106" s="1819"/>
      <c r="AT106" s="1819"/>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819"/>
      <c r="BU106" s="1819"/>
      <c r="BV106" s="861"/>
      <c r="BW106" s="1819"/>
      <c r="BX106" s="1819"/>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841</v>
      </c>
      <c r="CX106" s="1176" t="s">
        <v>781</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61"/>
      <c r="AD107" s="974"/>
      <c r="AE107" s="973" t="s">
        <v>237</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61"/>
      <c r="AD108" s="170" t="s">
        <v>843</v>
      </c>
      <c r="AE108" s="1472" t="s">
        <v>844</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845</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235</v>
      </c>
      <c r="AB109" s="1461"/>
      <c r="AD109" s="157" t="s">
        <v>846</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806"/>
      <c r="AQ109" s="1806"/>
      <c r="AR109" s="860">
        <f>_xlfn.IFERROR(AR113/AR64,0)*1000</f>
        <v>0</v>
      </c>
      <c r="AS109" s="1806"/>
      <c r="AT109" s="1806"/>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806"/>
      <c r="BU109" s="1806"/>
      <c r="BV109" s="860">
        <f>_xlfn.IFERROR(BV113/BV64,0)*1000</f>
        <v>0</v>
      </c>
      <c r="BW109" s="1806"/>
      <c r="BX109" s="1806"/>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845</v>
      </c>
      <c r="CX109" s="1176" t="s">
        <v>781</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61"/>
      <c r="AD110" s="974"/>
      <c r="AE110" s="973" t="s">
        <v>237</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61"/>
      <c r="AD111" s="170" t="s">
        <v>847</v>
      </c>
      <c r="AE111" s="1472" t="s">
        <v>848</v>
      </c>
      <c r="AF111" s="320"/>
      <c r="AG111" s="857" t="s">
        <v>799</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849</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719</v>
      </c>
      <c r="S112" s="156" cm="1" t="str">
        <f t="array" ref="S112:S112">OFFSET(T112,-1,-1)</f>
        <v>false</v>
      </c>
      <c r="T112" s="920" t="b">
        <v>0</v>
      </c>
      <c r="U112" s="816">
        <f>AND(S112,IF(ISBLANK(T112),TRUE,T112))</f>
        <v>0</v>
      </c>
      <c r="AB112" s="1461"/>
      <c r="AD112" s="157" t="str">
        <f>AD111&amp;".0"</f>
        <v>36.0</v>
      </c>
      <c r="AE112" s="1347" t="s">
        <v>730</v>
      </c>
      <c r="AF112" s="161"/>
      <c r="AG112" s="857" t="s">
        <v>799</v>
      </c>
      <c r="AH112" s="87">
        <f>AH$52*AH111</f>
        <v>0</v>
      </c>
      <c r="AI112" s="88">
        <f>AI$52*AI111</f>
        <v>0</v>
      </c>
      <c r="AJ112" s="88">
        <f>AJ$52*AJ111</f>
        <v>0</v>
      </c>
      <c r="AK112" s="88">
        <f>AK$52*AK111</f>
        <v>0</v>
      </c>
      <c r="AL112" s="860">
        <f>AM112+AN112</f>
        <v>0</v>
      </c>
      <c r="AM112" s="88">
        <f>AM$52*AM111</f>
        <v>0</v>
      </c>
      <c r="AN112" s="88">
        <f>AN$52*AN111</f>
        <v>0</v>
      </c>
      <c r="AO112" s="860">
        <f>AP112+AQ112</f>
        <v>0</v>
      </c>
      <c r="AP112" s="1806">
        <f>AP$52*AP111</f>
        <v>0</v>
      </c>
      <c r="AQ112" s="1806">
        <f>AQ$52*AQ111</f>
        <v>0</v>
      </c>
      <c r="AR112" s="860">
        <f>AS112+AT112</f>
        <v>0</v>
      </c>
      <c r="AS112" s="1806">
        <f>AS$52*AS111</f>
        <v>0</v>
      </c>
      <c r="AT112" s="1806">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806">
        <f>BT$52*BT111</f>
        <v>0</v>
      </c>
      <c r="BU112" s="1806">
        <f>BU$52*BU111</f>
        <v>0</v>
      </c>
      <c r="BV112" s="860">
        <f>BW112+BX112</f>
        <v>0</v>
      </c>
      <c r="BW112" s="1806">
        <f>BW$52*BW111</f>
        <v>0</v>
      </c>
      <c r="BX112" s="1806">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850</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235</v>
      </c>
      <c r="AB113" s="1461"/>
      <c r="AD113" s="157" t="s">
        <v>851</v>
      </c>
      <c r="AE113" s="972"/>
      <c r="AF113" s="622"/>
      <c r="AG113" s="857" t="s">
        <v>799</v>
      </c>
      <c r="AH113" s="87"/>
      <c r="AI113" s="88"/>
      <c r="AJ113" s="88"/>
      <c r="AK113" s="88"/>
      <c r="AL113" s="860">
        <f>AM113+AN113</f>
        <v>0</v>
      </c>
      <c r="AM113" s="88">
        <f>AM109*AM64/1000</f>
        <v>0</v>
      </c>
      <c r="AN113" s="88">
        <f>AN109*AN64/1000</f>
        <v>0</v>
      </c>
      <c r="AO113" s="860">
        <f>AP113+AQ113</f>
        <v>0</v>
      </c>
      <c r="AP113" s="1806">
        <f>AP109*AP64/1000</f>
        <v>0</v>
      </c>
      <c r="AQ113" s="1806">
        <f>AQ109*AQ64/1000</f>
        <v>0</v>
      </c>
      <c r="AR113" s="860">
        <f>AS113+AT113</f>
        <v>0</v>
      </c>
      <c r="AS113" s="1806">
        <f>AS109*AS64/1000</f>
        <v>0</v>
      </c>
      <c r="AT113" s="1806">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806">
        <f>BT109*BT64/1000</f>
        <v>0</v>
      </c>
      <c r="BU113" s="1806">
        <f>BU109*BU64/1000</f>
        <v>0</v>
      </c>
      <c r="BV113" s="860">
        <f>BW113+BX113</f>
        <v>0</v>
      </c>
      <c r="BW113" s="1806">
        <f>BW109*BW64/1000</f>
        <v>0</v>
      </c>
      <c r="BX113" s="1806">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850</v>
      </c>
      <c r="CX113" s="1176" t="s">
        <v>781</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61"/>
      <c r="AD114" s="974"/>
      <c r="AE114" s="973" t="s">
        <v>237</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719</v>
      </c>
      <c r="S115" s="156" cm="1" t="str">
        <f t="array" ref="S115:S115">OFFSET(T115,-1,-1)</f>
        <v>false</v>
      </c>
      <c r="T115" s="156" cm="1" t="str">
        <f t="array" ref="T115:T115">L115</f>
        <v>false</v>
      </c>
      <c r="U115" s="816">
        <f>AND(S115,IF(ISBLANK(T115),TRUE,T115))</f>
        <v>0</v>
      </c>
      <c r="AB115" s="1461"/>
      <c r="AD115" s="170" t="s">
        <v>852</v>
      </c>
      <c r="AE115" s="1478" t="s">
        <v>853</v>
      </c>
      <c r="AF115" s="160"/>
      <c r="AG115" s="857" t="s">
        <v>799</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854</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719</v>
      </c>
      <c r="S116" s="156" cm="1" t="str">
        <f t="array" ref="S116:S116">OFFSET(T116,-1,-1)</f>
        <v>false</v>
      </c>
      <c r="T116" s="156">
        <f>AND(L116,AD116&lt;&gt;"37.0")</f>
        <v>0</v>
      </c>
      <c r="U116" s="816">
        <f>AND(S116,IF(ISBLANK(T116),TRUE,T116))</f>
        <v>0</v>
      </c>
      <c r="X116" s="156" t="s">
        <v>235</v>
      </c>
      <c r="AB116" s="1461"/>
      <c r="AD116" s="157" t="s">
        <v>855</v>
      </c>
      <c r="AE116" s="972"/>
      <c r="AF116" s="622"/>
      <c r="AG116" s="857" t="s">
        <v>799</v>
      </c>
      <c r="AH116" s="87">
        <f>AH$52*AH113</f>
        <v>0</v>
      </c>
      <c r="AI116" s="88">
        <f>AI$52*AI113</f>
        <v>0</v>
      </c>
      <c r="AJ116" s="88">
        <f>AJ$52*AJ113</f>
        <v>0</v>
      </c>
      <c r="AK116" s="88">
        <f>AK$52*AK113</f>
        <v>0</v>
      </c>
      <c r="AL116" s="860">
        <f>AM116+AN116</f>
        <v>0</v>
      </c>
      <c r="AM116" s="88">
        <f>AM$52*AM113</f>
        <v>0</v>
      </c>
      <c r="AN116" s="88">
        <f>AN$52*AN113</f>
        <v>0</v>
      </c>
      <c r="AO116" s="860">
        <f>AP116+AQ116</f>
        <v>0</v>
      </c>
      <c r="AP116" s="1806">
        <f>AP$52*AP113</f>
        <v>0</v>
      </c>
      <c r="AQ116" s="1806">
        <f>AQ$52*AQ113</f>
        <v>0</v>
      </c>
      <c r="AR116" s="860">
        <f>AS116+AT116</f>
        <v>0</v>
      </c>
      <c r="AS116" s="1806">
        <f>AS$52*AS113</f>
        <v>0</v>
      </c>
      <c r="AT116" s="1806">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806">
        <f>BT$52*BT113</f>
        <v>0</v>
      </c>
      <c r="BU116" s="1806">
        <f>BU$52*BU113</f>
        <v>0</v>
      </c>
      <c r="BV116" s="860">
        <f>BW116+BX116</f>
        <v>0</v>
      </c>
      <c r="BW116" s="1806">
        <f>BW$52*BW113</f>
        <v>0</v>
      </c>
      <c r="BX116" s="1806">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854</v>
      </c>
      <c r="CX116" s="1176" t="s">
        <v>781</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62"/>
      <c r="AD117" s="974"/>
      <c r="AE117" s="973" t="s">
        <v>237</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60" t="s">
        <v>856</v>
      </c>
      <c r="AD118" s="170" t="s">
        <v>857</v>
      </c>
      <c r="AE118" s="1472" t="s">
        <v>858</v>
      </c>
      <c r="AF118" s="320"/>
      <c r="AG118" s="857" t="s">
        <v>799</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859</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719</v>
      </c>
      <c r="S119" s="156" cm="1" t="str">
        <f t="array" ref="S119:S119">OFFSET(T119,-1,-1)</f>
        <v>false</v>
      </c>
      <c r="T119" s="920" t="b">
        <v>0</v>
      </c>
      <c r="U119" s="816">
        <f>AND(S119,IF(ISBLANK(T119),TRUE,T119))</f>
        <v>0</v>
      </c>
      <c r="AB119" s="1461"/>
      <c r="AD119" s="157" t="str">
        <f>AD118&amp;".0"</f>
        <v>38.0</v>
      </c>
      <c r="AE119" s="1347" t="s">
        <v>730</v>
      </c>
      <c r="AF119" s="161"/>
      <c r="AG119" s="857" t="s">
        <v>799</v>
      </c>
      <c r="AH119" s="87">
        <f>AH$52*AH118</f>
        <v>0</v>
      </c>
      <c r="AI119" s="88">
        <f>AI$52*AI118</f>
        <v>0</v>
      </c>
      <c r="AJ119" s="88">
        <f>AJ$52*AJ118</f>
        <v>0</v>
      </c>
      <c r="AK119" s="88">
        <f>AK$52*AK118</f>
        <v>0</v>
      </c>
      <c r="AL119" s="860">
        <f>AM119+AN119</f>
        <v>0</v>
      </c>
      <c r="AM119" s="88">
        <f>AM$52*AM118</f>
        <v>0</v>
      </c>
      <c r="AN119" s="88">
        <f>AN$52*AN118</f>
        <v>0</v>
      </c>
      <c r="AO119" s="860">
        <f>AP119+AQ119</f>
        <v>0</v>
      </c>
      <c r="AP119" s="1806">
        <f>AP$52*AP118</f>
        <v>0</v>
      </c>
      <c r="AQ119" s="1806">
        <f>AQ$52*AQ118</f>
        <v>0</v>
      </c>
      <c r="AR119" s="860">
        <f>AS119+AT119</f>
        <v>0</v>
      </c>
      <c r="AS119" s="1806">
        <f>AS$52*AS118</f>
        <v>0</v>
      </c>
      <c r="AT119" s="1806">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806">
        <f>BT$52*BT118</f>
        <v>0</v>
      </c>
      <c r="BU119" s="1806">
        <f>BU$52*BU118</f>
        <v>0</v>
      </c>
      <c r="BV119" s="860">
        <f>BW119+BX119</f>
        <v>0</v>
      </c>
      <c r="BW119" s="1806">
        <f>BW$52*BW118</f>
        <v>0</v>
      </c>
      <c r="BX119" s="1806">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860</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235</v>
      </c>
      <c r="AB120" s="1461"/>
      <c r="AD120" s="157" t="s">
        <v>861</v>
      </c>
      <c r="AE120" s="972"/>
      <c r="AF120" s="622"/>
      <c r="AG120" s="857" t="s">
        <v>799</v>
      </c>
      <c r="AH120" s="87"/>
      <c r="AI120" s="88"/>
      <c r="AJ120" s="88"/>
      <c r="AK120" s="88"/>
      <c r="AL120" s="860">
        <f>AM120+AN120</f>
        <v>0</v>
      </c>
      <c r="AM120" s="88"/>
      <c r="AN120" s="88"/>
      <c r="AO120" s="860">
        <f>AP120+AQ120</f>
        <v>0</v>
      </c>
      <c r="AP120" s="1806"/>
      <c r="AQ120" s="1806"/>
      <c r="AR120" s="860">
        <f>AS120+AT120</f>
        <v>0</v>
      </c>
      <c r="AS120" s="1806"/>
      <c r="AT120" s="1806"/>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806"/>
      <c r="BU120" s="1806"/>
      <c r="BV120" s="860">
        <f>BW120+BX120</f>
        <v>0</v>
      </c>
      <c r="BW120" s="1806"/>
      <c r="BX120" s="1806"/>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860</v>
      </c>
      <c r="CX120" s="1176" t="s">
        <v>781</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61"/>
      <c r="AD121" s="974"/>
      <c r="AE121" s="973" t="s">
        <v>237</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719</v>
      </c>
      <c r="S122" s="156" cm="1" t="str">
        <f t="array" ref="S122:S122">OFFSET(T122,-1,-1)</f>
        <v>false</v>
      </c>
      <c r="T122" s="156" cm="1" t="str">
        <f t="array" ref="T122:T122">L122</f>
        <v>false</v>
      </c>
      <c r="U122" s="816">
        <f>AND(S122,IF(ISBLANK(T122),TRUE,T122))</f>
        <v>0</v>
      </c>
      <c r="AB122" s="1461"/>
      <c r="AD122" s="170" t="s">
        <v>862</v>
      </c>
      <c r="AE122" s="1478" t="s">
        <v>863</v>
      </c>
      <c r="AF122" s="160"/>
      <c r="AG122" s="857" t="s">
        <v>799</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864</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719</v>
      </c>
      <c r="S123" s="156" cm="1" t="str">
        <f t="array" ref="S123:S123">OFFSET(T123,-1,-1)</f>
        <v>false</v>
      </c>
      <c r="T123" s="156">
        <f>AND(L123,AD123&lt;&gt;"39.0")</f>
        <v>0</v>
      </c>
      <c r="U123" s="816">
        <f>AND(S123,IF(ISBLANK(T123),TRUE,T123))</f>
        <v>0</v>
      </c>
      <c r="X123" s="156" t="s">
        <v>235</v>
      </c>
      <c r="AB123" s="1461"/>
      <c r="AD123" s="157" t="s">
        <v>865</v>
      </c>
      <c r="AE123" s="972"/>
      <c r="AF123" s="622"/>
      <c r="AG123" s="857" t="s">
        <v>799</v>
      </c>
      <c r="AH123" s="87">
        <f>AH$52*AH120</f>
        <v>0</v>
      </c>
      <c r="AI123" s="88">
        <f>AI$52*AI120</f>
        <v>0</v>
      </c>
      <c r="AJ123" s="88">
        <f>AJ$52*AJ120</f>
        <v>0</v>
      </c>
      <c r="AK123" s="88">
        <f>AK$52*AK120</f>
        <v>0</v>
      </c>
      <c r="AL123" s="860">
        <f>AM123+AN123</f>
        <v>0</v>
      </c>
      <c r="AM123" s="88">
        <f>AM$52*AM120</f>
        <v>0</v>
      </c>
      <c r="AN123" s="88">
        <f>AN$52*AN120</f>
        <v>0</v>
      </c>
      <c r="AO123" s="860">
        <f>AP123+AQ123</f>
        <v>0</v>
      </c>
      <c r="AP123" s="1806">
        <f>AP$52*AP120</f>
        <v>0</v>
      </c>
      <c r="AQ123" s="1806">
        <f>AQ$52*AQ120</f>
        <v>0</v>
      </c>
      <c r="AR123" s="860">
        <f>AS123+AT123</f>
        <v>0</v>
      </c>
      <c r="AS123" s="1806">
        <f>AS$52*AS120</f>
        <v>0</v>
      </c>
      <c r="AT123" s="1806">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806">
        <f>BT$52*BT120</f>
        <v>0</v>
      </c>
      <c r="BU123" s="1806">
        <f>BU$52*BU120</f>
        <v>0</v>
      </c>
      <c r="BV123" s="860">
        <f>BW123+BX123</f>
        <v>0</v>
      </c>
      <c r="BW123" s="1806">
        <f>BW$52*BW120</f>
        <v>0</v>
      </c>
      <c r="BX123" s="1806">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864</v>
      </c>
      <c r="CX123" s="1176" t="s">
        <v>781</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62"/>
      <c r="AD124" s="974"/>
      <c r="AE124" s="973" t="s">
        <v>237</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503" t="s">
        <v>866</v>
      </c>
      <c r="AD125" s="170" t="s">
        <v>867</v>
      </c>
      <c r="AE125" s="1478" t="s">
        <v>868</v>
      </c>
      <c r="AF125" s="160"/>
      <c r="AG125" s="857" t="s">
        <v>799</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869</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719</v>
      </c>
      <c r="S126" s="156" cm="1" t="str">
        <f t="array" ref="S126:S126">OFFSET(T126,-1,-1)</f>
        <v>false</v>
      </c>
      <c r="T126" s="156" cm="1" t="str">
        <f t="array" ref="T126:T126">L126</f>
        <v>false</v>
      </c>
      <c r="U126" s="816">
        <f>AND(S126,IF(ISBLANK(T126),TRUE,T126))</f>
        <v>0</v>
      </c>
      <c r="AB126" s="1504"/>
      <c r="AD126" s="157" t="str">
        <f>AD125&amp;".0"</f>
        <v>40.0</v>
      </c>
      <c r="AE126" s="1480" t="s">
        <v>730</v>
      </c>
      <c r="AF126" s="1481"/>
      <c r="AG126" s="857" t="s">
        <v>799</v>
      </c>
      <c r="AH126" s="87">
        <f>AH$52*AH125</f>
        <v>0</v>
      </c>
      <c r="AI126" s="88">
        <f>AI$52*AI125</f>
        <v>0</v>
      </c>
      <c r="AJ126" s="88">
        <f>AJ$52*AJ125</f>
        <v>0</v>
      </c>
      <c r="AK126" s="88">
        <f>AK$52*AK125</f>
        <v>0</v>
      </c>
      <c r="AL126" s="860">
        <f>AM126+AN126</f>
        <v>0</v>
      </c>
      <c r="AM126" s="88">
        <f>AM$52*AM125</f>
        <v>0</v>
      </c>
      <c r="AN126" s="88">
        <f>AN$52*AN125</f>
        <v>0</v>
      </c>
      <c r="AO126" s="860">
        <f>AP126+AQ126</f>
        <v>0</v>
      </c>
      <c r="AP126" s="1806">
        <f>AP$52*AP125</f>
        <v>0</v>
      </c>
      <c r="AQ126" s="1806">
        <f>AQ$52*AQ125</f>
        <v>0</v>
      </c>
      <c r="AR126" s="860">
        <f>AS126+AT126</f>
        <v>0</v>
      </c>
      <c r="AS126" s="1806">
        <f>AS$52*AS125</f>
        <v>0</v>
      </c>
      <c r="AT126" s="1806">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806">
        <f>BT$52*BT125</f>
        <v>0</v>
      </c>
      <c r="BU126" s="1806">
        <f>BU$52*BU125</f>
        <v>0</v>
      </c>
      <c r="BV126" s="860">
        <f>BW126+BX126</f>
        <v>0</v>
      </c>
      <c r="BW126" s="1806">
        <f>BW$52*BW125</f>
        <v>0</v>
      </c>
      <c r="BX126" s="1806">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870</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504"/>
      <c r="AD127" s="975" t="s">
        <v>871</v>
      </c>
      <c r="AE127" s="1482" t="s">
        <v>589</v>
      </c>
      <c r="AF127" s="1483"/>
      <c r="AG127" s="1011" t="s">
        <v>799</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872</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504"/>
      <c r="AD128" s="975" t="s">
        <v>873</v>
      </c>
      <c r="AE128" s="1482" t="s">
        <v>591</v>
      </c>
      <c r="AF128" s="1483"/>
      <c r="AG128" s="1011" t="s">
        <v>799</v>
      </c>
      <c r="AH128" s="97"/>
      <c r="AI128" s="97"/>
      <c r="AJ128" s="97"/>
      <c r="AK128" s="97"/>
      <c r="AL128" s="97"/>
      <c r="AM128" s="97"/>
      <c r="AN128" s="97"/>
      <c r="AO128" s="1821"/>
      <c r="AP128" s="1821"/>
      <c r="AQ128" s="1821"/>
      <c r="AR128" s="1821"/>
      <c r="AS128" s="1821"/>
      <c r="AT128" s="1821"/>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821"/>
      <c r="BT128" s="1821"/>
      <c r="BU128" s="1821"/>
      <c r="BV128" s="1821"/>
      <c r="BW128" s="1821"/>
      <c r="BX128" s="1821"/>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874</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235</v>
      </c>
      <c r="AB129" s="1504"/>
      <c r="AD129" s="157" t="s">
        <v>875</v>
      </c>
      <c r="AE129" s="972"/>
      <c r="AF129" s="622"/>
      <c r="AG129" s="857" t="s">
        <v>799</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876</v>
      </c>
      <c r="CX129" s="1176" t="s">
        <v>781</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504"/>
      <c r="AD130" s="974"/>
      <c r="AE130" s="973" t="s">
        <v>237</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504"/>
      <c r="AD131" s="170" t="s">
        <v>877</v>
      </c>
      <c r="AE131" s="1472" t="s">
        <v>878</v>
      </c>
      <c r="AF131" s="320"/>
      <c r="AG131" s="857" t="s">
        <v>879</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880</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719</v>
      </c>
      <c r="S132" s="156" cm="1" t="str">
        <f t="array" ref="S132:S132">OFFSET(T132,-1,-1)</f>
        <v>false</v>
      </c>
      <c r="T132" s="156" cm="1" t="str">
        <f t="array" ref="T132:T132">L132</f>
        <v>false</v>
      </c>
      <c r="U132" s="816">
        <f>AND(S132,IF(ISBLANK(T132),TRUE,T132))</f>
        <v>0</v>
      </c>
      <c r="AB132" s="1504"/>
      <c r="AD132" s="157" t="str">
        <f>AD131&amp;".0"</f>
        <v>41.0</v>
      </c>
      <c r="AE132" s="1347" t="s">
        <v>730</v>
      </c>
      <c r="AF132" s="161"/>
      <c r="AG132" s="857" t="s">
        <v>879</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881</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235</v>
      </c>
      <c r="AB133" s="1504"/>
      <c r="AD133" s="157" t="s">
        <v>882</v>
      </c>
      <c r="AE133" s="972"/>
      <c r="AF133" s="622"/>
      <c r="AG133" s="857" t="s">
        <v>879</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881</v>
      </c>
      <c r="CX133" s="1176" t="s">
        <v>781</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504"/>
      <c r="AD134" s="974"/>
      <c r="AE134" s="973" t="s">
        <v>237</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504"/>
      <c r="AD135" s="170" t="s">
        <v>883</v>
      </c>
      <c r="AE135" s="1472" t="s">
        <v>884</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885</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235</v>
      </c>
      <c r="AB136" s="1504"/>
      <c r="AD136" s="157" t="s">
        <v>886</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885</v>
      </c>
      <c r="CX136" s="1176" t="s">
        <v>781</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504"/>
      <c r="AD137" s="974"/>
      <c r="AE137" s="973" t="s">
        <v>237</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505"/>
      <c r="AC138" s="976"/>
      <c r="AD138" s="170" t="s">
        <v>887</v>
      </c>
      <c r="AE138" s="1472" t="s">
        <v>888</v>
      </c>
      <c r="AF138" s="320"/>
      <c r="AG138" s="857" t="s">
        <v>889</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890</v>
      </c>
      <c r="CX138" s="1176"/>
      <c r="CY138" s="1176"/>
      <c r="CZ138" s="1176"/>
      <c r="DA138" s="1177"/>
      <c r="DB138" s="1177"/>
    </row>
    <row s="1642" customFormat="1" customHeight="1" ht="16.5">
      <c r="A139" s="1498"/>
      <c r="B139" s="925"/>
      <c r="C139" s="1498"/>
      <c r="D139" s="1498"/>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98"/>
      <c r="S139" s="156">
        <f>Y139&gt;0</f>
        <v>1</v>
      </c>
      <c r="T139" s="1498"/>
      <c r="U139" s="816">
        <f>AND(S139,IF(ISBLANK(T139),TRUE,T139))</f>
        <v>1</v>
      </c>
      <c r="V139" s="1498"/>
      <c r="W139" s="172" cm="1" t="str">
        <f t="array" ref="W139:W139">'Баланс Тр'!$AB$35</f>
        <v>Тариф 1 (Теплоснабжение) - Тарифы на услуги по передаче тепловой энергии, теплоносителя (Не определено)</v>
      </c>
      <c r="X139" s="1498"/>
      <c r="Y139" s="1497" t="s">
        <v>337</v>
      </c>
      <c r="Z139" s="1498"/>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42"/>
      <c r="CV139" s="1642"/>
      <c r="CW139" s="1171" t="str">
        <f>IF(AND(ISNUMBER(VALUE(TRIM(SUBSTITUTE(AD139,".","")))),TRIM(SUBSTITUTE(AD139,".",""))&lt;&gt;""),"P"&amp;SUBSTITUTE(AD139,".",""),"")</f>
        <v/>
      </c>
      <c r="CX139" s="1176"/>
      <c r="CY139" s="1176"/>
      <c r="CZ139" s="1176"/>
      <c r="DA139" s="1177"/>
      <c r="DB139" s="1177"/>
    </row>
    <row s="1642" customFormat="1" customHeight="1" ht="16.5" hidden="1">
      <c r="A140" s="1498"/>
      <c r="B140" s="925"/>
      <c r="C140" s="1498"/>
      <c r="D140" s="1498"/>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719</v>
      </c>
      <c r="S140" s="156" cm="1" t="str">
        <f t="array" ref="S140:S140">OFFSET(T140,-1,-1)</f>
        <v>true</v>
      </c>
      <c r="T140" s="156" cm="1" t="str">
        <f t="array" ref="T140:T140">L140</f>
        <v>false</v>
      </c>
      <c r="U140" s="816">
        <f>AND(S140,IF(ISBLANK(T140),TRUE,T140))</f>
        <v>0</v>
      </c>
      <c r="V140" s="1498"/>
      <c r="W140" s="1498"/>
      <c r="X140" s="1498"/>
      <c r="Y140" s="1498"/>
      <c r="Z140" s="1498"/>
      <c r="AA140" s="817"/>
      <c r="AB140" s="1499" t="s">
        <v>720</v>
      </c>
      <c r="AC140" s="1642"/>
      <c r="AD140" s="157">
        <v>1</v>
      </c>
      <c r="AE140" s="1474" t="s">
        <v>721</v>
      </c>
      <c r="AF140" s="165"/>
      <c r="AG140" s="157" t="s">
        <v>722</v>
      </c>
      <c r="AH140" s="87"/>
      <c r="AI140" s="88"/>
      <c r="AJ140" s="88"/>
      <c r="AK140" s="88"/>
      <c r="AL140" s="860">
        <f>AM140+AN140</f>
        <v>0</v>
      </c>
      <c r="AM140" s="88"/>
      <c r="AN140" s="88"/>
      <c r="AO140" s="860">
        <f>AP140+AQ140</f>
        <v>0</v>
      </c>
      <c r="AP140" s="1806"/>
      <c r="AQ140" s="1806"/>
      <c r="AR140" s="860">
        <f>AS140+AT140</f>
        <v>0</v>
      </c>
      <c r="AS140" s="1806"/>
      <c r="AT140" s="1806"/>
      <c r="AU140" s="860">
        <f>AV140+AW140</f>
        <v>0</v>
      </c>
      <c r="AV140" s="88"/>
      <c r="AW140" s="88"/>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806"/>
      <c r="BU140" s="1806"/>
      <c r="BV140" s="860">
        <f>BW140+BX140</f>
        <v>0</v>
      </c>
      <c r="BW140" s="1806"/>
      <c r="BX140" s="1806"/>
      <c r="BY140" s="860">
        <f>BZ140+CA140</f>
        <v>0</v>
      </c>
      <c r="BZ140" s="88"/>
      <c r="CA140" s="88"/>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42"/>
      <c r="CV140" s="1642"/>
      <c r="CW140" s="1171" t="s">
        <v>723</v>
      </c>
      <c r="CX140" s="1176"/>
      <c r="CY140" s="1176"/>
      <c r="CZ140" s="1176"/>
      <c r="DA140" s="1177"/>
      <c r="DB140" s="1177"/>
    </row>
    <row s="1642" customFormat="1" customHeight="1" ht="16.5" hidden="1">
      <c r="A141" s="1498"/>
      <c r="B141" s="925"/>
      <c r="C141" s="1498"/>
      <c r="D141" s="1498"/>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719</v>
      </c>
      <c r="S141" s="156" cm="1" t="str">
        <f t="array" ref="S141:S141">OFFSET(T141,-1,-1)</f>
        <v>true</v>
      </c>
      <c r="T141" s="156" cm="1" t="str">
        <f t="array" ref="T141:T141">T140</f>
        <v>false</v>
      </c>
      <c r="U141" s="816">
        <f>AND(S141,IF(ISBLANK(T141),TRUE,T141))</f>
        <v>0</v>
      </c>
      <c r="V141" s="1498"/>
      <c r="W141" s="1498"/>
      <c r="X141" s="1498"/>
      <c r="Y141" s="1498"/>
      <c r="Z141" s="1498"/>
      <c r="AA141" s="817"/>
      <c r="AB141" s="1500"/>
      <c r="AC141" s="1642"/>
      <c r="AD141" s="157">
        <v>2</v>
      </c>
      <c r="AE141" s="1474" t="s">
        <v>724</v>
      </c>
      <c r="AF141" s="165"/>
      <c r="AG141" s="157" t="s">
        <v>722</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42"/>
      <c r="CV141" s="1642"/>
      <c r="CW141" s="1171" t="s">
        <v>725</v>
      </c>
      <c r="CX141" s="1176"/>
      <c r="CY141" s="1176"/>
      <c r="CZ141" s="1176"/>
      <c r="DA141" s="1177"/>
      <c r="DB141" s="1177"/>
    </row>
    <row s="1642" customFormat="1" customHeight="1" ht="16.5" hidden="1">
      <c r="A142" s="1498"/>
      <c r="B142" s="925"/>
      <c r="C142" s="1498"/>
      <c r="D142" s="1498"/>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719</v>
      </c>
      <c r="S142" s="156" cm="1" t="str">
        <f t="array" ref="S142:S142">OFFSET(T142,-1,-1)</f>
        <v>true</v>
      </c>
      <c r="T142" s="156" cm="1" t="str">
        <f t="array" ref="T142:T142">T141</f>
        <v>false</v>
      </c>
      <c r="U142" s="816">
        <f>AND(S142,IF(ISBLANK(T142),TRUE,T142))</f>
        <v>0</v>
      </c>
      <c r="V142" s="1498"/>
      <c r="W142" s="1498"/>
      <c r="X142" s="1498"/>
      <c r="Y142" s="1498"/>
      <c r="Z142" s="1498"/>
      <c r="AA142" s="817"/>
      <c r="AB142" s="1500"/>
      <c r="AC142" s="1642"/>
      <c r="AD142" s="157" t="s">
        <v>443</v>
      </c>
      <c r="AE142" s="1486" t="s">
        <v>726</v>
      </c>
      <c r="AF142" s="162"/>
      <c r="AG142" s="157" t="s">
        <v>722</v>
      </c>
      <c r="AH142" s="87"/>
      <c r="AI142" s="88"/>
      <c r="AJ142" s="88"/>
      <c r="AK142" s="88"/>
      <c r="AL142" s="860">
        <f>AM142+AN142</f>
        <v>0</v>
      </c>
      <c r="AM142" s="88"/>
      <c r="AN142" s="88"/>
      <c r="AO142" s="860">
        <f>AP142+AQ142</f>
        <v>0</v>
      </c>
      <c r="AP142" s="1806"/>
      <c r="AQ142" s="1806"/>
      <c r="AR142" s="860">
        <f>AS142+AT142</f>
        <v>0</v>
      </c>
      <c r="AS142" s="1806"/>
      <c r="AT142" s="1806"/>
      <c r="AU142" s="860">
        <f>AV142+AW142</f>
        <v>0</v>
      </c>
      <c r="AV142" s="88"/>
      <c r="AW142" s="88"/>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806"/>
      <c r="BU142" s="1806"/>
      <c r="BV142" s="860">
        <f>BW142+BX142</f>
        <v>0</v>
      </c>
      <c r="BW142" s="1806"/>
      <c r="BX142" s="1806"/>
      <c r="BY142" s="860">
        <f>BZ142+CA142</f>
        <v>0</v>
      </c>
      <c r="BZ142" s="88"/>
      <c r="CA142" s="88"/>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42"/>
      <c r="CV142" s="1642"/>
      <c r="CW142" s="1171" t="s">
        <v>727</v>
      </c>
      <c r="CX142" s="1176"/>
      <c r="CY142" s="1176"/>
      <c r="CZ142" s="1176"/>
      <c r="DA142" s="1177"/>
      <c r="DB142" s="1177"/>
    </row>
    <row s="1642" customFormat="1" customHeight="1" ht="16.5" hidden="1">
      <c r="A143" s="1498"/>
      <c r="B143" s="925"/>
      <c r="C143" s="1498"/>
      <c r="D143" s="1498"/>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719</v>
      </c>
      <c r="S143" s="156" cm="1" t="str">
        <f t="array" ref="S143:S143">OFFSET(T143,-1,-1)</f>
        <v>true</v>
      </c>
      <c r="T143" s="156" cm="1" t="str">
        <f t="array" ref="T143:T143">T142</f>
        <v>false</v>
      </c>
      <c r="U143" s="816">
        <f>AND(S143,IF(ISBLANK(T143),TRUE,T143))</f>
        <v>0</v>
      </c>
      <c r="V143" s="1498"/>
      <c r="W143" s="1498"/>
      <c r="X143" s="1498"/>
      <c r="Y143" s="1498"/>
      <c r="Z143" s="1498"/>
      <c r="AA143" s="817"/>
      <c r="AB143" s="1500"/>
      <c r="AC143" s="1642"/>
      <c r="AD143" s="157" t="s">
        <v>446</v>
      </c>
      <c r="AE143" s="1491" t="s">
        <v>728</v>
      </c>
      <c r="AF143" s="163"/>
      <c r="AG143" s="157" t="s">
        <v>485</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42"/>
      <c r="CV143" s="1642"/>
      <c r="CW143" s="1171" t="s">
        <v>729</v>
      </c>
      <c r="CX143" s="1176"/>
      <c r="CY143" s="1176"/>
      <c r="CZ143" s="1176"/>
      <c r="DA143" s="1177"/>
      <c r="DB143" s="1177"/>
    </row>
    <row s="1642" customFormat="1" customHeight="1" ht="16.5" hidden="1">
      <c r="A144" s="1498"/>
      <c r="B144" s="925"/>
      <c r="C144" s="1498"/>
      <c r="D144" s="1498"/>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719</v>
      </c>
      <c r="S144" s="156" cm="1" t="str">
        <f t="array" ref="S144:S144">OFFSET(T144,-1,-1)</f>
        <v>true</v>
      </c>
      <c r="T144" s="156" cm="1" t="str">
        <f t="array" ref="T144:T144">T143</f>
        <v>false</v>
      </c>
      <c r="U144" s="816">
        <f>AND(S144,IF(ISBLANK(T144),TRUE,T144))</f>
        <v>0</v>
      </c>
      <c r="V144" s="1498"/>
      <c r="W144" s="1498"/>
      <c r="X144" s="1498"/>
      <c r="Y144" s="1498"/>
      <c r="Z144" s="1498"/>
      <c r="AA144" s="817"/>
      <c r="AB144" s="1500"/>
      <c r="AC144" s="1642"/>
      <c r="AD144" s="157" t="s">
        <v>470</v>
      </c>
      <c r="AE144" s="1486" t="s">
        <v>730</v>
      </c>
      <c r="AF144" s="162"/>
      <c r="AG144" s="157" t="s">
        <v>722</v>
      </c>
      <c r="AH144" s="87"/>
      <c r="AI144" s="88"/>
      <c r="AJ144" s="88"/>
      <c r="AK144" s="88"/>
      <c r="AL144" s="860">
        <f>AM144+AN144</f>
        <v>0</v>
      </c>
      <c r="AM144" s="88"/>
      <c r="AN144" s="88"/>
      <c r="AO144" s="860">
        <f>AP144+AQ144</f>
        <v>0</v>
      </c>
      <c r="AP144" s="1806"/>
      <c r="AQ144" s="1806"/>
      <c r="AR144" s="860">
        <f>AS144+AT144</f>
        <v>0</v>
      </c>
      <c r="AS144" s="1806"/>
      <c r="AT144" s="1806"/>
      <c r="AU144" s="860">
        <f>AV144+AW144</f>
        <v>0</v>
      </c>
      <c r="AV144" s="88"/>
      <c r="AW144" s="88"/>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806"/>
      <c r="BU144" s="1806"/>
      <c r="BV144" s="860">
        <f>BW144+BX144</f>
        <v>0</v>
      </c>
      <c r="BW144" s="1806"/>
      <c r="BX144" s="1806"/>
      <c r="BY144" s="860">
        <f>BZ144+CA144</f>
        <v>0</v>
      </c>
      <c r="BZ144" s="88"/>
      <c r="CA144" s="88"/>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42"/>
      <c r="CV144" s="1642"/>
      <c r="CW144" s="1171" t="s">
        <v>731</v>
      </c>
      <c r="CX144" s="1176"/>
      <c r="CY144" s="1176"/>
      <c r="CZ144" s="1176"/>
      <c r="DA144" s="1177"/>
      <c r="DB144" s="1177"/>
    </row>
    <row s="1642" customFormat="1" customHeight="1" ht="16.5" hidden="1">
      <c r="A145" s="1498"/>
      <c r="B145" s="925"/>
      <c r="C145" s="1498"/>
      <c r="D145" s="1498"/>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719</v>
      </c>
      <c r="S145" s="156" cm="1" t="str">
        <f t="array" ref="S145:S145">OFFSET(T145,-1,-1)</f>
        <v>true</v>
      </c>
      <c r="T145" s="156" cm="1" t="str">
        <f t="array" ref="T145:T145">T144</f>
        <v>false</v>
      </c>
      <c r="U145" s="816">
        <f>AND(S145,IF(ISBLANK(T145),TRUE,T145))</f>
        <v>0</v>
      </c>
      <c r="V145" s="1498"/>
      <c r="W145" s="1498"/>
      <c r="X145" s="1498"/>
      <c r="Y145" s="1498"/>
      <c r="Z145" s="1498"/>
      <c r="AA145" s="817"/>
      <c r="AB145" s="1500"/>
      <c r="AC145" s="1642"/>
      <c r="AD145" s="157" t="s">
        <v>732</v>
      </c>
      <c r="AE145" s="1491" t="s">
        <v>733</v>
      </c>
      <c r="AF145" s="163"/>
      <c r="AG145" s="157" t="s">
        <v>734</v>
      </c>
      <c r="AH145" s="87"/>
      <c r="AI145" s="88"/>
      <c r="AJ145" s="88"/>
      <c r="AK145" s="88"/>
      <c r="AL145" s="88"/>
      <c r="AM145" s="88"/>
      <c r="AN145" s="88"/>
      <c r="AO145" s="1806"/>
      <c r="AP145" s="1806"/>
      <c r="AQ145" s="1806"/>
      <c r="AR145" s="1806"/>
      <c r="AS145" s="1806"/>
      <c r="AT145" s="1806"/>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806"/>
      <c r="BT145" s="1806"/>
      <c r="BU145" s="1806"/>
      <c r="BV145" s="1806"/>
      <c r="BW145" s="1806"/>
      <c r="BX145" s="1806"/>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42"/>
      <c r="CV145" s="1642"/>
      <c r="CW145" s="1171" t="s">
        <v>735</v>
      </c>
      <c r="CX145" s="1176"/>
      <c r="CY145" s="1176"/>
      <c r="CZ145" s="1176"/>
      <c r="DA145" s="1177"/>
      <c r="DB145" s="1177"/>
    </row>
    <row s="1642" customFormat="1" customHeight="1" ht="16.5" hidden="1">
      <c r="A146" s="1498"/>
      <c r="B146" s="925"/>
      <c r="C146" s="1498"/>
      <c r="D146" s="1498"/>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719</v>
      </c>
      <c r="S146" s="156" cm="1" t="str">
        <f t="array" ref="S146:S146">OFFSET(T146,-1,-1)</f>
        <v>true</v>
      </c>
      <c r="T146" s="156" cm="1" t="str">
        <f t="array" ref="T146:T146">T145</f>
        <v>false</v>
      </c>
      <c r="U146" s="816">
        <f>AND(S146,IF(ISBLANK(T146),TRUE,T146))</f>
        <v>0</v>
      </c>
      <c r="V146" s="1498"/>
      <c r="W146" s="1498"/>
      <c r="X146" s="1498"/>
      <c r="Y146" s="1498"/>
      <c r="Z146" s="1498"/>
      <c r="AA146" s="817"/>
      <c r="AB146" s="1500"/>
      <c r="AC146" s="1642"/>
      <c r="AD146" s="157">
        <v>3</v>
      </c>
      <c r="AE146" s="1474" t="s">
        <v>736</v>
      </c>
      <c r="AF146" s="165"/>
      <c r="AG146" s="157" t="s">
        <v>722</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42"/>
      <c r="CV146" s="1642"/>
      <c r="CW146" s="1171" t="s">
        <v>737</v>
      </c>
      <c r="CX146" s="1176"/>
      <c r="CY146" s="1176"/>
      <c r="CZ146" s="1176"/>
      <c r="DA146" s="1177"/>
      <c r="DB146" s="1177"/>
    </row>
    <row s="1642" customFormat="1" customHeight="1" ht="16.5" hidden="1">
      <c r="A147" s="1498"/>
      <c r="B147" s="925"/>
      <c r="C147" s="1498"/>
      <c r="D147" s="1498"/>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719</v>
      </c>
      <c r="S147" s="156" cm="1" t="str">
        <f t="array" ref="S147:S147">OFFSET(T147,-1,-1)</f>
        <v>true</v>
      </c>
      <c r="T147" s="156" cm="1" t="str">
        <f t="array" ref="T147:T147">T146</f>
        <v>false</v>
      </c>
      <c r="U147" s="816">
        <f>AND(S147,IF(ISBLANK(T147),TRUE,T147))</f>
        <v>0</v>
      </c>
      <c r="V147" s="1498"/>
      <c r="W147" s="1498"/>
      <c r="X147" s="1498"/>
      <c r="Y147" s="1498"/>
      <c r="Z147" s="1498"/>
      <c r="AA147" s="817"/>
      <c r="AB147" s="1500"/>
      <c r="AC147" s="1642"/>
      <c r="AD147" s="157">
        <v>4</v>
      </c>
      <c r="AE147" s="1474" t="s">
        <v>738</v>
      </c>
      <c r="AF147" s="165"/>
      <c r="AG147" s="157" t="s">
        <v>722</v>
      </c>
      <c r="AH147" s="87"/>
      <c r="AI147" s="88"/>
      <c r="AJ147" s="88"/>
      <c r="AK147" s="88"/>
      <c r="AL147" s="860">
        <f>AM147+AN147</f>
        <v>0</v>
      </c>
      <c r="AM147" s="88"/>
      <c r="AN147" s="88"/>
      <c r="AO147" s="860">
        <f>AP147+AQ147</f>
        <v>0</v>
      </c>
      <c r="AP147" s="1806"/>
      <c r="AQ147" s="1806"/>
      <c r="AR147" s="860">
        <f>AS147+AT147</f>
        <v>0</v>
      </c>
      <c r="AS147" s="1806"/>
      <c r="AT147" s="1806"/>
      <c r="AU147" s="860">
        <f>AV147+AW147</f>
        <v>0</v>
      </c>
      <c r="AV147" s="88"/>
      <c r="AW147" s="88"/>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806"/>
      <c r="BU147" s="1806"/>
      <c r="BV147" s="860">
        <f>BW147+BX147</f>
        <v>0</v>
      </c>
      <c r="BW147" s="1806"/>
      <c r="BX147" s="1806"/>
      <c r="BY147" s="860">
        <f>BZ147+CA147</f>
        <v>0</v>
      </c>
      <c r="BZ147" s="88"/>
      <c r="CA147" s="88"/>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42"/>
      <c r="CV147" s="1642"/>
      <c r="CW147" s="1171" t="s">
        <v>739</v>
      </c>
      <c r="CX147" s="1176"/>
      <c r="CY147" s="1176"/>
      <c r="CZ147" s="1176"/>
      <c r="DA147" s="1177"/>
      <c r="DB147" s="1177"/>
    </row>
    <row s="1642" customFormat="1" customHeight="1" ht="16.5" hidden="1">
      <c r="A148" s="1498"/>
      <c r="B148" s="925"/>
      <c r="C148" s="1498"/>
      <c r="D148" s="1498"/>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719</v>
      </c>
      <c r="S148" s="156" cm="1" t="str">
        <f t="array" ref="S148:S148">OFFSET(T148,-1,-1)</f>
        <v>true</v>
      </c>
      <c r="T148" s="156" cm="1" t="str">
        <f t="array" ref="T148:T148">T147</f>
        <v>false</v>
      </c>
      <c r="U148" s="816">
        <f>AND(S148,IF(ISBLANK(T148),TRUE,T148))</f>
        <v>0</v>
      </c>
      <c r="V148" s="1498"/>
      <c r="W148" s="1498"/>
      <c r="X148" s="1498"/>
      <c r="Y148" s="1498"/>
      <c r="Z148" s="1498"/>
      <c r="AA148" s="817"/>
      <c r="AB148" s="1500"/>
      <c r="AC148" s="1642"/>
      <c r="AD148" s="157" t="s">
        <v>740</v>
      </c>
      <c r="AE148" s="1486" t="s">
        <v>741</v>
      </c>
      <c r="AF148" s="162"/>
      <c r="AG148" s="157" t="s">
        <v>485</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42"/>
      <c r="CV148" s="1642"/>
      <c r="CW148" s="1171" t="s">
        <v>742</v>
      </c>
      <c r="CX148" s="1176"/>
      <c r="CY148" s="1176"/>
      <c r="CZ148" s="1176"/>
      <c r="DA148" s="1177"/>
      <c r="DB148" s="1177"/>
    </row>
    <row s="1642" customFormat="1" customHeight="1" ht="16.5" hidden="1">
      <c r="A149" s="1498"/>
      <c r="B149" s="925"/>
      <c r="C149" s="1498"/>
      <c r="D149" s="1498"/>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719</v>
      </c>
      <c r="S149" s="156" cm="1" t="str">
        <f t="array" ref="S149:S149">OFFSET(T149,-1,-1)</f>
        <v>true</v>
      </c>
      <c r="T149" s="156" cm="1" t="str">
        <f t="array" ref="T149:T149">T148</f>
        <v>false</v>
      </c>
      <c r="U149" s="816">
        <f>AND(S149,IF(ISBLANK(T149),TRUE,T149))</f>
        <v>0</v>
      </c>
      <c r="V149" s="1498"/>
      <c r="W149" s="1498"/>
      <c r="X149" s="1498"/>
      <c r="Y149" s="1498"/>
      <c r="Z149" s="1498"/>
      <c r="AA149" s="817"/>
      <c r="AB149" s="1500"/>
      <c r="AC149" s="1642"/>
      <c r="AD149" s="157">
        <v>5</v>
      </c>
      <c r="AE149" s="1493" t="s">
        <v>743</v>
      </c>
      <c r="AF149" s="1494"/>
      <c r="AG149" s="157" t="s">
        <v>722</v>
      </c>
      <c r="AH149" s="87"/>
      <c r="AI149" s="88"/>
      <c r="AJ149" s="88"/>
      <c r="AK149" s="88"/>
      <c r="AL149" s="860">
        <f>AM149+AN149</f>
        <v>0</v>
      </c>
      <c r="AM149" s="88"/>
      <c r="AN149" s="88"/>
      <c r="AO149" s="860">
        <f>AP149+AQ149</f>
        <v>0</v>
      </c>
      <c r="AP149" s="1806"/>
      <c r="AQ149" s="1806"/>
      <c r="AR149" s="860">
        <f>AS149+AT149</f>
        <v>0</v>
      </c>
      <c r="AS149" s="1806"/>
      <c r="AT149" s="1806"/>
      <c r="AU149" s="860">
        <f>AV149+AW149</f>
        <v>0</v>
      </c>
      <c r="AV149" s="88"/>
      <c r="AW149" s="88"/>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806"/>
      <c r="BU149" s="1806"/>
      <c r="BV149" s="860">
        <f>BW149+BX149</f>
        <v>0</v>
      </c>
      <c r="BW149" s="1806"/>
      <c r="BX149" s="1806"/>
      <c r="BY149" s="860">
        <f>BZ149+CA149</f>
        <v>0</v>
      </c>
      <c r="BZ149" s="88"/>
      <c r="CA149" s="88"/>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42"/>
      <c r="CV149" s="1642"/>
      <c r="CW149" s="1171" t="s">
        <v>744</v>
      </c>
      <c r="CX149" s="1176"/>
      <c r="CY149" s="1176"/>
      <c r="CZ149" s="1176"/>
      <c r="DA149" s="1177"/>
      <c r="DB149" s="1177"/>
    </row>
    <row s="1642" customFormat="1" customHeight="1" ht="16.5" hidden="1">
      <c r="A150" s="1498"/>
      <c r="B150" s="925"/>
      <c r="C150" s="1498"/>
      <c r="D150" s="1498"/>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719</v>
      </c>
      <c r="S150" s="156" cm="1" t="str">
        <f t="array" ref="S150:S150">OFFSET(T150,-1,-1)</f>
        <v>true</v>
      </c>
      <c r="T150" s="156" cm="1" t="str">
        <f t="array" ref="T150:T150">T149</f>
        <v>false</v>
      </c>
      <c r="U150" s="816">
        <f>AND(S150,IF(ISBLANK(T150),TRUE,T150))</f>
        <v>0</v>
      </c>
      <c r="V150" s="1498"/>
      <c r="W150" s="1498"/>
      <c r="X150" s="1498"/>
      <c r="Y150" s="1498"/>
      <c r="Z150" s="1498"/>
      <c r="AA150" s="817"/>
      <c r="AB150" s="1500"/>
      <c r="AC150" s="1642"/>
      <c r="AD150" s="157" t="s">
        <v>745</v>
      </c>
      <c r="AE150" s="1486" t="s">
        <v>741</v>
      </c>
      <c r="AF150" s="162"/>
      <c r="AG150" s="157" t="s">
        <v>485</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42"/>
      <c r="CV150" s="1642"/>
      <c r="CW150" s="1171" t="s">
        <v>746</v>
      </c>
      <c r="CX150" s="1176"/>
      <c r="CY150" s="1176"/>
      <c r="CZ150" s="1176"/>
      <c r="DA150" s="1177"/>
      <c r="DB150" s="1177"/>
    </row>
    <row s="1642" customFormat="1" customHeight="1" ht="16.5" hidden="1">
      <c r="A151" s="1498"/>
      <c r="B151" s="925"/>
      <c r="C151" s="1498"/>
      <c r="D151" s="1498"/>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719</v>
      </c>
      <c r="S151" s="156" cm="1" t="str">
        <f t="array" ref="S151:S151">OFFSET(T151,-1,-1)</f>
        <v>true</v>
      </c>
      <c r="T151" s="156" cm="1" t="str">
        <f t="array" ref="T151:T151">T150</f>
        <v>false</v>
      </c>
      <c r="U151" s="816">
        <f>AND(S151,IF(ISBLANK(T151),TRUE,T151))</f>
        <v>0</v>
      </c>
      <c r="V151" s="1498"/>
      <c r="W151" s="1498"/>
      <c r="X151" s="1498"/>
      <c r="Y151" s="1498"/>
      <c r="Z151" s="1498"/>
      <c r="AA151" s="817"/>
      <c r="AB151" s="1500"/>
      <c r="AC151" s="1642"/>
      <c r="AD151" s="157">
        <v>6</v>
      </c>
      <c r="AE151" s="1493" t="s">
        <v>747</v>
      </c>
      <c r="AF151" s="1494"/>
      <c r="AG151" s="157" t="s">
        <v>722</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42"/>
      <c r="CV151" s="1642"/>
      <c r="CW151" s="1171" t="s">
        <v>748</v>
      </c>
      <c r="CX151" s="1176"/>
      <c r="CY151" s="1176"/>
      <c r="CZ151" s="1176"/>
      <c r="DA151" s="1177"/>
      <c r="DB151" s="1177"/>
    </row>
    <row s="1642" customFormat="1" customHeight="1" ht="29.25">
      <c r="A152" s="1498"/>
      <c r="B152" s="925"/>
      <c r="C152" s="1498"/>
      <c r="D152" s="1498"/>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98"/>
      <c r="S152" s="156" cm="1" t="str">
        <f t="array" ref="S152:S152">OFFSET(T152,-1,-1)</f>
        <v>true</v>
      </c>
      <c r="T152" s="1498"/>
      <c r="U152" s="816">
        <f>AND(S152,IF(ISBLANK(T152),TRUE,T152))</f>
        <v>1</v>
      </c>
      <c r="V152" s="1498"/>
      <c r="W152" s="1498"/>
      <c r="X152" s="1498"/>
      <c r="Y152" s="1498"/>
      <c r="Z152" s="1498"/>
      <c r="AA152" s="817"/>
      <c r="AB152" s="1500"/>
      <c r="AC152" s="1642"/>
      <c r="AD152" s="157">
        <v>7</v>
      </c>
      <c r="AE152" s="1489" t="s">
        <v>749</v>
      </c>
      <c r="AF152" s="164"/>
      <c r="AG152" s="870" t="s">
        <v>586</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824">
        <v>377240.78</v>
      </c>
      <c r="AN152" s="860">
        <f>AL152-AM152</f>
        <v>-377240.78</v>
      </c>
      <c r="AO152" s="858">
        <f>_xlfn.SUMIFS('Баланс Пр'!AJ$27:AJ$165,'Баланс Пр'!$AB$27:$AB$165,"3.1",'Баланс Пр'!$F$27:$F$165,$F152)+_xlfn.SUMIFS('Баланс Пр'!AJ$27:AJ$165,'Баланс Пр'!$AB$27:$AB$165,"3.2",'Баланс Пр'!$F$27:$F$165,$F152)</f>
        <v>0</v>
      </c>
      <c r="AP152" s="1806"/>
      <c r="AQ152" s="860">
        <f>AO152-AP152</f>
        <v>0</v>
      </c>
      <c r="AR152" s="858">
        <f>_xlfn.SUMIFS('Баланс Пр'!AK$27:AK$165,'Баланс Пр'!$AB$27:$AB$165,"3.1",'Баланс Пр'!$F$27:$F$165,$F152)+_xlfn.SUMIFS('Баланс Пр'!AK$27:AK$165,'Баланс Пр'!$AB$27:$AB$165,"3.2",'Баланс Пр'!$F$27:$F$165,$F152)</f>
        <v>0</v>
      </c>
      <c r="AS152" s="1806"/>
      <c r="AT152" s="860">
        <f>AR152-AS152</f>
        <v>0</v>
      </c>
      <c r="AU152" s="858">
        <f>_xlfn.SUMIFS('Баланс Пр'!AL$27:AL$165,'Баланс Пр'!$AB$27:$AB$165,"3.1",'Баланс Пр'!$F$27:$F$165,$F152)+_xlfn.SUMIFS('Баланс Пр'!AL$27:AL$165,'Баланс Пр'!$AB$27:$AB$165,"3.2",'Баланс Пр'!$F$27:$F$165,$F152)</f>
        <v>0</v>
      </c>
      <c r="AV152" s="1824"/>
      <c r="AW152" s="860">
        <f>AU152-AV152</f>
        <v>0</v>
      </c>
      <c r="AX152" s="858">
        <f>_xlfn.SUMIFS('Баланс Пр'!AM$27:AM$165,'Баланс Пр'!$AB$27:$AB$165,"3.1",'Баланс Пр'!$F$27:$F$165,$F152)+_xlfn.SUMIFS('Баланс Пр'!AM$27:AM$165,'Баланс Пр'!$AB$27:$AB$165,"3.2",'Баланс Пр'!$F$27:$F$165,$F152)</f>
        <v>0</v>
      </c>
      <c r="AY152" s="1824"/>
      <c r="AZ152" s="860">
        <f>AX152-AY152</f>
        <v>0</v>
      </c>
      <c r="BA152" s="858">
        <f>_xlfn.SUMIFS('Баланс Пр'!AN$27:AN$165,'Баланс Пр'!$AB$27:$AB$165,"3.1",'Баланс Пр'!$F$27:$F$165,$F152)+_xlfn.SUMIFS('Баланс Пр'!AN$27:AN$165,'Баланс Пр'!$AB$27:$AB$165,"3.2",'Баланс Пр'!$F$27:$F$165,$F152)</f>
        <v>0</v>
      </c>
      <c r="BB152" s="1824"/>
      <c r="BC152" s="860">
        <f>BA152-BB152</f>
        <v>0</v>
      </c>
      <c r="BD152" s="858">
        <f>_xlfn.SUMIFS('Баланс Пр'!AO$27:AO$165,'Баланс Пр'!$AB$27:$AB$165,"3.1",'Баланс Пр'!$F$27:$F$165,$F152)+_xlfn.SUMIFS('Баланс Пр'!AO$27:AO$165,'Баланс Пр'!$AB$27:$AB$165,"3.2",'Баланс Пр'!$F$27:$F$165,$F152)</f>
        <v>0</v>
      </c>
      <c r="BE152" s="1824"/>
      <c r="BF152" s="860">
        <f>BD152-BE152</f>
        <v>0</v>
      </c>
      <c r="BG152" s="858">
        <f>_xlfn.SUMIFS('Баланс Пр'!AP$27:AP$165,'Баланс Пр'!$AB$27:$AB$165,"3.1",'Баланс Пр'!$F$27:$F$165,$F152)+_xlfn.SUMIFS('Баланс Пр'!AP$27:AP$165,'Баланс Пр'!$AB$27:$AB$165,"3.2",'Баланс Пр'!$F$27:$F$165,$F152)</f>
        <v>0</v>
      </c>
      <c r="BH152" s="1824"/>
      <c r="BI152" s="860">
        <f>BG152-BH152</f>
        <v>0</v>
      </c>
      <c r="BJ152" s="858">
        <f>_xlfn.SUMIFS('Баланс Пр'!AQ$27:AQ$165,'Баланс Пр'!$AB$27:$AB$165,"3.1",'Баланс Пр'!$F$27:$F$165,$F152)+_xlfn.SUMIFS('Баланс Пр'!AQ$27:AQ$165,'Баланс Пр'!$AB$27:$AB$165,"3.2",'Баланс Пр'!$F$27:$F$165,$F152)</f>
        <v>0</v>
      </c>
      <c r="BK152" s="1824"/>
      <c r="BL152" s="860">
        <f>BJ152-BK152</f>
        <v>0</v>
      </c>
      <c r="BM152" s="858">
        <f>_xlfn.SUMIFS('Баланс Пр'!AR$27:AR$165,'Баланс Пр'!$AB$27:$AB$165,"3.1",'Баланс Пр'!$F$27:$F$165,$F152)+_xlfn.SUMIFS('Баланс Пр'!AR$27:AR$165,'Баланс Пр'!$AB$27:$AB$165,"3.2",'Баланс Пр'!$F$27:$F$165,$F152)</f>
        <v>0</v>
      </c>
      <c r="BN152" s="1824"/>
      <c r="BO152" s="860">
        <f>BM152-BN152</f>
        <v>0</v>
      </c>
      <c r="BP152" s="858">
        <f>_xlfn.SUMIFS('Баланс Пр'!AS$27:AS$165,'Баланс Пр'!$AB$27:$AB$165,"3.1",'Баланс Пр'!$F$27:$F$165,$F152)+_xlfn.SUMIFS('Баланс Пр'!AS$27:AS$165,'Баланс Пр'!$AB$27:$AB$165,"3.2",'Баланс Пр'!$F$27:$F$165,$F152)</f>
        <v>0</v>
      </c>
      <c r="BQ152" s="977">
        <v>226416.17</v>
      </c>
      <c r="BR152" s="860">
        <f>BP152-BQ152</f>
        <v>-226416.17</v>
      </c>
      <c r="BS152" s="858">
        <f>_xlfn.SUMIFS('Баланс Пр'!AT$27:AT$165,'Баланс Пр'!$AB$27:$AB$165,"3.1",'Баланс Пр'!$F$27:$F$165,$F152)+_xlfn.SUMIFS('Баланс Пр'!AT$27:AT$165,'Баланс Пр'!$AB$27:$AB$165,"3.2",'Баланс Пр'!$F$27:$F$165,$F152)</f>
        <v>0</v>
      </c>
      <c r="BT152" s="1806"/>
      <c r="BU152" s="860">
        <f>BS152-BT152</f>
        <v>0</v>
      </c>
      <c r="BV152" s="858">
        <f>_xlfn.SUMIFS('Баланс Пр'!AU$27:AU$165,'Баланс Пр'!$AB$27:$AB$165,"3.1",'Баланс Пр'!$F$27:$F$165,$F152)+_xlfn.SUMIFS('Баланс Пр'!AU$27:AU$165,'Баланс Пр'!$AB$27:$AB$165,"3.2",'Баланс Пр'!$F$27:$F$165,$F152)</f>
        <v>0</v>
      </c>
      <c r="BW152" s="1806"/>
      <c r="BX152" s="860">
        <f>BV152-BW152</f>
        <v>0</v>
      </c>
      <c r="BY152" s="858">
        <f>_xlfn.SUMIFS('Баланс Пр'!AV$27:AV$165,'Баланс Пр'!$AB$27:$AB$165,"3.1",'Баланс Пр'!$F$27:$F$165,$F152)+_xlfn.SUMIFS('Баланс Пр'!AV$27:AV$165,'Баланс Пр'!$AB$27:$AB$165,"3.2",'Баланс Пр'!$F$27:$F$165,$F152)</f>
        <v>0</v>
      </c>
      <c r="BZ152" s="1824"/>
      <c r="CA152" s="860">
        <f>BY152-BZ152</f>
        <v>0</v>
      </c>
      <c r="CB152" s="858">
        <f>_xlfn.SUMIFS('Баланс Пр'!AW$27:AW$165,'Баланс Пр'!$AB$27:$AB$165,"3.1",'Баланс Пр'!$F$27:$F$165,$F152)+_xlfn.SUMIFS('Баланс Пр'!AW$27:AW$165,'Баланс Пр'!$AB$27:$AB$165,"3.2",'Баланс Пр'!$F$27:$F$165,$F152)</f>
        <v>0</v>
      </c>
      <c r="CC152" s="1824"/>
      <c r="CD152" s="860">
        <f>CB152-CC152</f>
        <v>0</v>
      </c>
      <c r="CE152" s="858">
        <f>_xlfn.SUMIFS('Баланс Пр'!AX$27:AX$165,'Баланс Пр'!$AB$27:$AB$165,"3.1",'Баланс Пр'!$F$27:$F$165,$F152)+_xlfn.SUMIFS('Баланс Пр'!AX$27:AX$165,'Баланс Пр'!$AB$27:$AB$165,"3.2",'Баланс Пр'!$F$27:$F$165,$F152)</f>
        <v>0</v>
      </c>
      <c r="CF152" s="1824"/>
      <c r="CG152" s="860">
        <f>CE152-CF152</f>
        <v>0</v>
      </c>
      <c r="CH152" s="858">
        <f>_xlfn.SUMIFS('Баланс Пр'!AY$27:AY$165,'Баланс Пр'!$AB$27:$AB$165,"3.1",'Баланс Пр'!$F$27:$F$165,$F152)+_xlfn.SUMIFS('Баланс Пр'!AY$27:AY$165,'Баланс Пр'!$AB$27:$AB$165,"3.2",'Баланс Пр'!$F$27:$F$165,$F152)</f>
        <v>0</v>
      </c>
      <c r="CI152" s="1824"/>
      <c r="CJ152" s="860">
        <f>CH152-CI152</f>
        <v>0</v>
      </c>
      <c r="CK152" s="858">
        <f>_xlfn.SUMIFS('Баланс Пр'!AZ$27:AZ$165,'Баланс Пр'!$AB$27:$AB$165,"3.1",'Баланс Пр'!$F$27:$F$165,$F152)+_xlfn.SUMIFS('Баланс Пр'!AZ$27:AZ$165,'Баланс Пр'!$AB$27:$AB$165,"3.2",'Баланс Пр'!$F$27:$F$165,$F152)</f>
        <v>0</v>
      </c>
      <c r="CL152" s="1824"/>
      <c r="CM152" s="860">
        <f>CK152-CL152</f>
        <v>0</v>
      </c>
      <c r="CN152" s="858">
        <f>_xlfn.SUMIFS('Баланс Пр'!BA$27:BA$165,'Баланс Пр'!$AB$27:$AB$165,"3.1",'Баланс Пр'!$F$27:$F$165,$F152)+_xlfn.SUMIFS('Баланс Пр'!BA$27:BA$165,'Баланс Пр'!$AB$27:$AB$165,"3.2",'Баланс Пр'!$F$27:$F$165,$F152)</f>
        <v>0</v>
      </c>
      <c r="CO152" s="1824"/>
      <c r="CP152" s="860">
        <f>CN152-CO152</f>
        <v>0</v>
      </c>
      <c r="CQ152" s="858">
        <f>_xlfn.SUMIFS('Баланс Пр'!BB$27:BB$165,'Баланс Пр'!$AB$27:$AB$165,"3.1",'Баланс Пр'!$F$27:$F$165,$F152)+_xlfn.SUMIFS('Баланс Пр'!BB$27:BB$165,'Баланс Пр'!$AB$27:$AB$165,"3.2",'Баланс Пр'!$F$27:$F$165,$F152)</f>
        <v>0</v>
      </c>
      <c r="CR152" s="1824"/>
      <c r="CS152" s="860">
        <f>CQ152-CR152</f>
        <v>0</v>
      </c>
      <c r="CT152" s="1792"/>
      <c r="CU152" s="1642"/>
      <c r="CV152" s="1642"/>
      <c r="CW152" s="1171" t="s">
        <v>750</v>
      </c>
      <c r="CX152" s="1176"/>
      <c r="CY152" s="1176"/>
      <c r="CZ152" s="1176"/>
      <c r="DA152" s="1177"/>
      <c r="DB152" s="1177"/>
    </row>
    <row s="1642" customFormat="1" customHeight="1" ht="16.5">
      <c r="A153" s="1498"/>
      <c r="B153" s="925"/>
      <c r="C153" s="1498"/>
      <c r="D153" s="1498"/>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98"/>
      <c r="S153" s="156" cm="1" t="str">
        <f t="array" ref="S153:S153">OFFSET(T153,-1,-1)</f>
        <v>true</v>
      </c>
      <c r="T153" s="1498"/>
      <c r="U153" s="816">
        <f>AND(S153,IF(ISBLANK(T153),TRUE,T153))</f>
        <v>1</v>
      </c>
      <c r="V153" s="1498"/>
      <c r="W153" s="1498"/>
      <c r="X153" s="1498"/>
      <c r="Y153" s="1498"/>
      <c r="Z153" s="1498"/>
      <c r="AA153" s="817"/>
      <c r="AB153" s="1500"/>
      <c r="AC153" s="1642"/>
      <c r="AD153" s="157">
        <v>8</v>
      </c>
      <c r="AE153" s="1489" t="s">
        <v>751</v>
      </c>
      <c r="AF153" s="164"/>
      <c r="AG153" s="870" t="s">
        <v>586</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24">
        <v>134656</v>
      </c>
      <c r="AN153" s="860">
        <f>AL153-AM153</f>
        <v>-134656</v>
      </c>
      <c r="AO153" s="858">
        <f>_xlfn.SUMIFS('Баланс Пр'!AJ$27:AJ$165,'Баланс Пр'!$AB$27:$AB$165,"5",'Баланс Пр'!$F$27:$F$165,$F152)</f>
        <v>0</v>
      </c>
      <c r="AP153" s="1806"/>
      <c r="AQ153" s="860">
        <f>AO153-AP153</f>
        <v>0</v>
      </c>
      <c r="AR153" s="858">
        <f>_xlfn.SUMIFS('Баланс Пр'!AK$27:AK$165,'Баланс Пр'!$AB$27:$AB$165,"5",'Баланс Пр'!$F$27:$F$165,$F152)</f>
        <v>0</v>
      </c>
      <c r="AS153" s="1806"/>
      <c r="AT153" s="860">
        <f>AR153-AS153</f>
        <v>0</v>
      </c>
      <c r="AU153" s="858">
        <f>_xlfn.SUMIFS('Баланс Пр'!AL$27:AL$165,'Баланс Пр'!$AB$27:$AB$165,"5",'Баланс Пр'!$F$27:$F$165,$F152)</f>
        <v>0</v>
      </c>
      <c r="AV153" s="1824"/>
      <c r="AW153" s="860">
        <f>AU153-AV153</f>
        <v>0</v>
      </c>
      <c r="AX153" s="858">
        <f>_xlfn.SUMIFS('Баланс Пр'!AM$27:AM$165,'Баланс Пр'!$AB$27:$AB$165,"5",'Баланс Пр'!$F$27:$F$165,$F152)</f>
        <v>0</v>
      </c>
      <c r="AY153" s="1824"/>
      <c r="AZ153" s="860">
        <f>AX153-AY153</f>
        <v>0</v>
      </c>
      <c r="BA153" s="858">
        <f>_xlfn.SUMIFS('Баланс Пр'!AN$27:AN$165,'Баланс Пр'!$AB$27:$AB$165,"5",'Баланс Пр'!$F$27:$F$165,$F152)</f>
        <v>0</v>
      </c>
      <c r="BB153" s="1824"/>
      <c r="BC153" s="860">
        <f>BA153-BB153</f>
        <v>0</v>
      </c>
      <c r="BD153" s="858">
        <f>_xlfn.SUMIFS('Баланс Пр'!AO$27:AO$165,'Баланс Пр'!$AB$27:$AB$165,"5",'Баланс Пр'!$F$27:$F$165,$F152)</f>
        <v>0</v>
      </c>
      <c r="BE153" s="1824"/>
      <c r="BF153" s="860">
        <f>BD153-BE153</f>
        <v>0</v>
      </c>
      <c r="BG153" s="858">
        <f>_xlfn.SUMIFS('Баланс Пр'!AP$27:AP$165,'Баланс Пр'!$AB$27:$AB$165,"5",'Баланс Пр'!$F$27:$F$165,$F152)</f>
        <v>0</v>
      </c>
      <c r="BH153" s="1824"/>
      <c r="BI153" s="860">
        <f>BG153-BH153</f>
        <v>0</v>
      </c>
      <c r="BJ153" s="858">
        <f>_xlfn.SUMIFS('Баланс Пр'!AQ$27:AQ$165,'Баланс Пр'!$AB$27:$AB$165,"5",'Баланс Пр'!$F$27:$F$165,$F152)</f>
        <v>0</v>
      </c>
      <c r="BK153" s="1824"/>
      <c r="BL153" s="860">
        <f>BJ153-BK153</f>
        <v>0</v>
      </c>
      <c r="BM153" s="858">
        <f>_xlfn.SUMIFS('Баланс Пр'!AR$27:AR$165,'Баланс Пр'!$AB$27:$AB$165,"5",'Баланс Пр'!$F$27:$F$165,$F152)</f>
        <v>0</v>
      </c>
      <c r="BN153" s="1824"/>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06"/>
      <c r="BU153" s="860">
        <f>BS153-BT153</f>
        <v>0</v>
      </c>
      <c r="BV153" s="858">
        <f>_xlfn.SUMIFS('Баланс Пр'!AU$27:AU$165,'Баланс Пр'!$AB$27:$AB$165,"5",'Баланс Пр'!$F$27:$F$165,$F152)</f>
        <v>0</v>
      </c>
      <c r="BW153" s="1806"/>
      <c r="BX153" s="860">
        <f>BV153-BW153</f>
        <v>0</v>
      </c>
      <c r="BY153" s="858">
        <f>_xlfn.SUMIFS('Баланс Пр'!AV$27:AV$165,'Баланс Пр'!$AB$27:$AB$165,"5",'Баланс Пр'!$F$27:$F$165,$F152)</f>
        <v>0</v>
      </c>
      <c r="BZ153" s="1824"/>
      <c r="CA153" s="860">
        <f>BY153-BZ153</f>
        <v>0</v>
      </c>
      <c r="CB153" s="858">
        <f>_xlfn.SUMIFS('Баланс Пр'!AW$27:AW$165,'Баланс Пр'!$AB$27:$AB$165,"5",'Баланс Пр'!$F$27:$F$165,$F152)</f>
        <v>0</v>
      </c>
      <c r="CC153" s="1824"/>
      <c r="CD153" s="860">
        <f>CB153-CC153</f>
        <v>0</v>
      </c>
      <c r="CE153" s="858">
        <f>_xlfn.SUMIFS('Баланс Пр'!AX$27:AX$165,'Баланс Пр'!$AB$27:$AB$165,"5",'Баланс Пр'!$F$27:$F$165,$F152)</f>
        <v>0</v>
      </c>
      <c r="CF153" s="1824"/>
      <c r="CG153" s="860">
        <f>CE153-CF153</f>
        <v>0</v>
      </c>
      <c r="CH153" s="858">
        <f>_xlfn.SUMIFS('Баланс Пр'!AY$27:AY$165,'Баланс Пр'!$AB$27:$AB$165,"5",'Баланс Пр'!$F$27:$F$165,$F152)</f>
        <v>0</v>
      </c>
      <c r="CI153" s="1824"/>
      <c r="CJ153" s="860">
        <f>CH153-CI153</f>
        <v>0</v>
      </c>
      <c r="CK153" s="858">
        <f>_xlfn.SUMIFS('Баланс Пр'!AZ$27:AZ$165,'Баланс Пр'!$AB$27:$AB$165,"5",'Баланс Пр'!$F$27:$F$165,$F152)</f>
        <v>0</v>
      </c>
      <c r="CL153" s="1824"/>
      <c r="CM153" s="860">
        <f>CK153-CL153</f>
        <v>0</v>
      </c>
      <c r="CN153" s="858">
        <f>_xlfn.SUMIFS('Баланс Пр'!BA$27:BA$165,'Баланс Пр'!$AB$27:$AB$165,"5",'Баланс Пр'!$F$27:$F$165,$F152)</f>
        <v>0</v>
      </c>
      <c r="CO153" s="1824"/>
      <c r="CP153" s="860">
        <f>CN153-CO153</f>
        <v>0</v>
      </c>
      <c r="CQ153" s="858">
        <f>_xlfn.SUMIFS('Баланс Пр'!BB$27:BB$165,'Баланс Пр'!$AB$27:$AB$165,"5",'Баланс Пр'!$F$27:$F$165,$F152)</f>
        <v>0</v>
      </c>
      <c r="CR153" s="1824"/>
      <c r="CS153" s="860">
        <f>CQ153-CR153</f>
        <v>0</v>
      </c>
      <c r="CT153" s="1792"/>
      <c r="CU153" s="1642"/>
      <c r="CV153" s="1642"/>
      <c r="CW153" s="1171" t="s">
        <v>752</v>
      </c>
      <c r="CX153" s="1176"/>
      <c r="CY153" s="1176"/>
      <c r="CZ153" s="1176"/>
      <c r="DA153" s="1177"/>
      <c r="DB153" s="1177"/>
    </row>
    <row s="1642" customFormat="1" customHeight="1" ht="16.5">
      <c r="A154" s="1498"/>
      <c r="B154" s="925"/>
      <c r="C154" s="1498"/>
      <c r="D154" s="1498"/>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98"/>
      <c r="S154" s="156" cm="1" t="str">
        <f t="array" ref="S154:S154">OFFSET(T154,-1,-1)</f>
        <v>true</v>
      </c>
      <c r="T154" s="1498"/>
      <c r="U154" s="816">
        <f>AND(S154,IF(ISBLANK(T154),TRUE,T154))</f>
        <v>1</v>
      </c>
      <c r="V154" s="1498"/>
      <c r="W154" s="1498"/>
      <c r="X154" s="1498"/>
      <c r="Y154" s="1498"/>
      <c r="Z154" s="1498"/>
      <c r="AA154" s="817"/>
      <c r="AB154" s="1500"/>
      <c r="AC154" s="1642"/>
      <c r="AD154" s="157" t="s">
        <v>753</v>
      </c>
      <c r="AE154" s="1495" t="s">
        <v>754</v>
      </c>
      <c r="AF154" s="1496"/>
      <c r="AG154" s="648" t="s">
        <v>485</v>
      </c>
      <c r="AH154" s="864">
        <f>_xlfn.IFERROR(AH153/AH152,0)</f>
        <v>0</v>
      </c>
      <c r="AI154" s="865">
        <f>_xlfn.IFERROR(AI153/AI152,0)</f>
        <v>0</v>
      </c>
      <c r="AJ154" s="865">
        <f>_xlfn.IFERROR(AJ153/AJ152,0)</f>
        <v>0</v>
      </c>
      <c r="AK154" s="865">
        <f>_xlfn.IFERROR(AK153/AK152,0)</f>
        <v>0</v>
      </c>
      <c r="AL154" s="865">
        <f>_xlfn.IFERROR(AL153/AL152,0)</f>
        <v>0</v>
      </c>
      <c r="AM154" s="865">
        <f>_xlfn.IFERROR(AM153/AM152,0)</f>
        <v>0.356949744404621</v>
      </c>
      <c r="AN154" s="865">
        <f>_xlfn.IFERROR(AN153/AN152,0)</f>
        <v>0.356949744404621</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92"/>
      <c r="CU154" s="1642"/>
      <c r="CV154" s="1642"/>
      <c r="CW154" s="1171" t="s">
        <v>755</v>
      </c>
      <c r="CX154" s="1176"/>
      <c r="CY154" s="1176"/>
      <c r="CZ154" s="1176"/>
      <c r="DA154" s="1177"/>
      <c r="DB154" s="1177"/>
    </row>
    <row s="1642" customFormat="1" customHeight="1" ht="29.25">
      <c r="A155" s="1498"/>
      <c r="B155" s="925"/>
      <c r="C155" s="1498"/>
      <c r="D155" s="1498"/>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98"/>
      <c r="S155" s="156" cm="1" t="str">
        <f t="array" ref="S155:S155">OFFSET(T155,-1,-1)</f>
        <v>true</v>
      </c>
      <c r="T155" s="1498"/>
      <c r="U155" s="816">
        <f>AND(S155,IF(ISBLANK(T155),TRUE,T155))</f>
        <v>1</v>
      </c>
      <c r="V155" s="1498"/>
      <c r="W155" s="1498"/>
      <c r="X155" s="1498"/>
      <c r="Y155" s="1498"/>
      <c r="Z155" s="1498"/>
      <c r="AA155" s="817"/>
      <c r="AB155" s="1500"/>
      <c r="AC155" s="1642"/>
      <c r="AD155" s="157">
        <v>9</v>
      </c>
      <c r="AE155" s="1474" t="s">
        <v>756</v>
      </c>
      <c r="AF155" s="165"/>
      <c r="AG155" s="870" t="s">
        <v>586</v>
      </c>
      <c r="AH155" s="858">
        <f>AH152-AH153</f>
        <v>0</v>
      </c>
      <c r="AI155" s="860">
        <f>AI152-AI153</f>
        <v>0</v>
      </c>
      <c r="AJ155" s="860">
        <f>AJ152-AJ153</f>
        <v>0</v>
      </c>
      <c r="AK155" s="860">
        <f>AK152-AK153</f>
        <v>0</v>
      </c>
      <c r="AL155" s="860">
        <f>AL152-AL153</f>
        <v>0</v>
      </c>
      <c r="AM155" s="860">
        <f>AM152-AM153</f>
        <v>242584.78</v>
      </c>
      <c r="AN155" s="860">
        <f>AN152-AN153</f>
        <v>-242584.78</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226416.17</v>
      </c>
      <c r="BR155" s="860">
        <f>BR152-BR153</f>
        <v>-226416.17</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92"/>
      <c r="CU155" s="1642"/>
      <c r="CV155" s="1642"/>
      <c r="CW155" s="1171" t="s">
        <v>757</v>
      </c>
      <c r="CX155" s="1176"/>
      <c r="CY155" s="1176"/>
      <c r="CZ155" s="1176"/>
      <c r="DA155" s="1177"/>
      <c r="DB155" s="1177"/>
    </row>
    <row s="1642" customFormat="1" customHeight="1" ht="16.5" hidden="1">
      <c r="A156" s="1498"/>
      <c r="B156" s="925"/>
      <c r="C156" s="1498"/>
      <c r="D156" s="1498"/>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719</v>
      </c>
      <c r="S156" s="156" cm="1" t="str">
        <f t="array" ref="S156:S156">OFFSET(T156,-1,-1)</f>
        <v>true</v>
      </c>
      <c r="T156" s="156" cm="1" t="str">
        <f t="array" ref="T156:T156">L156</f>
        <v>false</v>
      </c>
      <c r="U156" s="816">
        <f>AND(S156,IF(ISBLANK(T156),TRUE,T156))</f>
        <v>0</v>
      </c>
      <c r="V156" s="1498"/>
      <c r="W156" s="1498"/>
      <c r="X156" s="1498"/>
      <c r="Y156" s="1498"/>
      <c r="Z156" s="1498"/>
      <c r="AA156" s="817"/>
      <c r="AB156" s="1500"/>
      <c r="AC156" s="1642"/>
      <c r="AD156" s="157">
        <v>10</v>
      </c>
      <c r="AE156" s="1474" t="s">
        <v>736</v>
      </c>
      <c r="AF156" s="165"/>
      <c r="AG156" s="648" t="s">
        <v>722</v>
      </c>
      <c r="AH156" s="87"/>
      <c r="AI156" s="88"/>
      <c r="AJ156" s="88"/>
      <c r="AK156" s="88"/>
      <c r="AL156" s="860">
        <f>AM156+AN156</f>
        <v>0</v>
      </c>
      <c r="AM156" s="88"/>
      <c r="AN156" s="88"/>
      <c r="AO156" s="860">
        <f>AP156+AQ156</f>
        <v>0</v>
      </c>
      <c r="AP156" s="1806"/>
      <c r="AQ156" s="1806"/>
      <c r="AR156" s="860">
        <f>AS156+AT156</f>
        <v>0</v>
      </c>
      <c r="AS156" s="1806"/>
      <c r="AT156" s="1806"/>
      <c r="AU156" s="860">
        <f>AV156+AW156</f>
        <v>0</v>
      </c>
      <c r="AV156" s="88"/>
      <c r="AW156" s="88"/>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806"/>
      <c r="BU156" s="1806"/>
      <c r="BV156" s="860">
        <f>BW156+BX156</f>
        <v>0</v>
      </c>
      <c r="BW156" s="1806"/>
      <c r="BX156" s="1806"/>
      <c r="BY156" s="860">
        <f>BZ156+CA156</f>
        <v>0</v>
      </c>
      <c r="BZ156" s="88"/>
      <c r="CA156" s="88"/>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42"/>
      <c r="CV156" s="1642"/>
      <c r="CW156" s="1171" t="s">
        <v>758</v>
      </c>
      <c r="CX156" s="1176"/>
      <c r="CY156" s="1176"/>
      <c r="CZ156" s="1176"/>
      <c r="DA156" s="1177"/>
      <c r="DB156" s="1177"/>
    </row>
    <row s="1642" customFormat="1" customHeight="1" ht="29.25" hidden="1">
      <c r="A157" s="1498"/>
      <c r="B157" s="925"/>
      <c r="C157" s="1498"/>
      <c r="D157" s="1498"/>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719</v>
      </c>
      <c r="S157" s="156" cm="1" t="str">
        <f t="array" ref="S157:S157">OFFSET(T157,-1,-1)</f>
        <v>true</v>
      </c>
      <c r="T157" s="156" cm="1" t="str">
        <f t="array" ref="T157:T157">L157</f>
        <v>false</v>
      </c>
      <c r="U157" s="816">
        <f>AND(S157,IF(ISBLANK(T157),TRUE,T157))</f>
        <v>0</v>
      </c>
      <c r="V157" s="1498"/>
      <c r="W157" s="1498"/>
      <c r="X157" s="1498"/>
      <c r="Y157" s="1498"/>
      <c r="Z157" s="1498"/>
      <c r="AA157" s="817"/>
      <c r="AB157" s="1500"/>
      <c r="AC157" s="1642"/>
      <c r="AD157" s="157">
        <v>11</v>
      </c>
      <c r="AE157" s="1474" t="s">
        <v>759</v>
      </c>
      <c r="AF157" s="165"/>
      <c r="AG157" s="648" t="s">
        <v>760</v>
      </c>
      <c r="AH157" s="87"/>
      <c r="AI157" s="88"/>
      <c r="AJ157" s="88"/>
      <c r="AK157" s="88"/>
      <c r="AL157" s="860">
        <f>_xlfn.IFERROR(AL158*1000/AL156,0)</f>
        <v>0</v>
      </c>
      <c r="AM157" s="88"/>
      <c r="AN157" s="88" cm="1" t="str">
        <f t="array" ref="AN157:AN157">AM157</f>
        <v>0</v>
      </c>
      <c r="AO157" s="860">
        <f>_xlfn.IFERROR(AO158*1000/AO156,0)</f>
        <v>0</v>
      </c>
      <c r="AP157" s="1806"/>
      <c r="AQ157" s="1806" cm="1" t="str">
        <f t="array" ref="AQ157:AQ157">AP157</f>
        <v>0</v>
      </c>
      <c r="AR157" s="860">
        <f>_xlfn.IFERROR(AR158*1000/AR156,0)</f>
        <v>0</v>
      </c>
      <c r="AS157" s="1806"/>
      <c r="AT157" s="1806" cm="1" t="str">
        <f t="array" ref="AT157:AT157">AS157</f>
        <v>0</v>
      </c>
      <c r="AU157" s="860">
        <f>_xlfn.IFERROR(AU158*1000/AU156,0)</f>
        <v>0</v>
      </c>
      <c r="AV157" s="88"/>
      <c r="AW157" s="88"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806"/>
      <c r="BU157" s="1806" cm="1" t="str">
        <f t="array" ref="BU157:BU157">BT157</f>
        <v>0</v>
      </c>
      <c r="BV157" s="860">
        <f>_xlfn.IFERROR(BV158*1000/BV156,0)</f>
        <v>0</v>
      </c>
      <c r="BW157" s="1806"/>
      <c r="BX157" s="1806" cm="1" t="str">
        <f t="array" ref="BX157:BX157">BW157</f>
        <v>0</v>
      </c>
      <c r="BY157" s="860">
        <f>_xlfn.IFERROR(BY158*1000/BY156,0)</f>
        <v>0</v>
      </c>
      <c r="BZ157" s="88"/>
      <c r="CA157" s="88"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42"/>
      <c r="CV157" s="1642"/>
      <c r="CW157" s="1171" t="s">
        <v>761</v>
      </c>
      <c r="CX157" s="1176"/>
      <c r="CY157" s="1176"/>
      <c r="CZ157" s="1176"/>
      <c r="DA157" s="1177"/>
      <c r="DB157" s="1177"/>
    </row>
    <row s="1642" customFormat="1" customHeight="1" ht="16.5" hidden="1">
      <c r="A158" s="1498"/>
      <c r="B158" s="925"/>
      <c r="C158" s="1498"/>
      <c r="D158" s="1498"/>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719</v>
      </c>
      <c r="S158" s="156" cm="1" t="str">
        <f t="array" ref="S158:S158">OFFSET(T158,-1,-1)</f>
        <v>true</v>
      </c>
      <c r="T158" s="156" cm="1" t="str">
        <f t="array" ref="T158:T158">L158</f>
        <v>false</v>
      </c>
      <c r="U158" s="816">
        <f>AND(S158,IF(ISBLANK(T158),TRUE,T158))</f>
        <v>0</v>
      </c>
      <c r="V158" s="1498"/>
      <c r="W158" s="1498"/>
      <c r="X158" s="1498"/>
      <c r="Y158" s="1498"/>
      <c r="Z158" s="1498"/>
      <c r="AA158" s="817"/>
      <c r="AB158" s="1500"/>
      <c r="AC158" s="1642"/>
      <c r="AD158" s="157">
        <v>12</v>
      </c>
      <c r="AE158" s="1474" t="s">
        <v>762</v>
      </c>
      <c r="AF158" s="165"/>
      <c r="AG158" s="648" t="s">
        <v>763</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42"/>
      <c r="CV158" s="1642"/>
      <c r="CW158" s="1171" t="s">
        <v>764</v>
      </c>
      <c r="CX158" s="1176"/>
      <c r="CY158" s="1176"/>
      <c r="CZ158" s="1176"/>
      <c r="DA158" s="1177"/>
      <c r="DB158" s="1177"/>
    </row>
    <row s="1642" customFormat="1" customHeight="1" ht="29.25">
      <c r="A159" s="1498"/>
      <c r="B159" s="925"/>
      <c r="C159" s="1498"/>
      <c r="D159" s="1498"/>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98"/>
      <c r="S159" s="156" cm="1" t="str">
        <f t="array" ref="S159:S159">OFFSET(T159,-1,-1)</f>
        <v>true</v>
      </c>
      <c r="T159" s="1498"/>
      <c r="U159" s="816">
        <f>AND(S159,IF(ISBLANK(T159),TRUE,T159))</f>
        <v>1</v>
      </c>
      <c r="V159" s="1498"/>
      <c r="W159" s="1498"/>
      <c r="X159" s="1498"/>
      <c r="Y159" s="1498"/>
      <c r="Z159" s="1498"/>
      <c r="AA159" s="817"/>
      <c r="AB159" s="1500"/>
      <c r="AC159" s="1642"/>
      <c r="AD159" s="157">
        <v>13</v>
      </c>
      <c r="AE159" s="1474" t="s">
        <v>749</v>
      </c>
      <c r="AF159" s="165"/>
      <c r="AG159" s="648" t="s">
        <v>586</v>
      </c>
      <c r="AH159" s="1826">
        <v>1371522.02</v>
      </c>
      <c r="AI159" s="1826">
        <v>670178</v>
      </c>
      <c r="AJ159" s="1826" cm="1" t="str">
        <f t="array" ref="AJ159:AJ159">AJ152</f>
        <v>0</v>
      </c>
      <c r="AK159" s="1826">
        <v>1356902.02</v>
      </c>
      <c r="AL159" s="1826">
        <v>679157.19</v>
      </c>
      <c r="AM159" s="1826">
        <v>377240.78</v>
      </c>
      <c r="AN159" s="1826">
        <v>301916.41</v>
      </c>
      <c r="AO159" s="1809" cm="1" t="str">
        <f t="array" ref="AO159:AO159">AO152</f>
        <v>0</v>
      </c>
      <c r="AP159" s="1809" cm="1" t="str">
        <f t="array" ref="AP159:AP159">AP152</f>
        <v>0</v>
      </c>
      <c r="AQ159" s="1809" cm="1" t="str">
        <f t="array" ref="AQ159:AQ159">AQ152</f>
        <v>0</v>
      </c>
      <c r="AR159" s="1809" cm="1" t="str">
        <f t="array" ref="AR159:AR159">AR152</f>
        <v>0</v>
      </c>
      <c r="AS159" s="1809" cm="1" t="str">
        <f t="array" ref="AS159:AS159">AS152</f>
        <v>0</v>
      </c>
      <c r="AT159" s="1809" cm="1" t="str">
        <f t="array" ref="AT159:AT159">AT152</f>
        <v>0</v>
      </c>
      <c r="AU159" s="1826" cm="1" t="str">
        <f t="array" ref="AU159:AU159">AU152</f>
        <v>0</v>
      </c>
      <c r="AV159" s="1826" cm="1" t="str">
        <f t="array" ref="AV159:AV159">AV152</f>
        <v>0</v>
      </c>
      <c r="AW159" s="1826" cm="1" t="str">
        <f t="array" ref="AW159:AW159">AW152</f>
        <v>0</v>
      </c>
      <c r="AX159" s="1826" cm="1" t="str">
        <f t="array" ref="AX159:AX159">AX152</f>
        <v>0</v>
      </c>
      <c r="AY159" s="1826" cm="1" t="str">
        <f t="array" ref="AY159:AY159">AY152</f>
        <v>0</v>
      </c>
      <c r="AZ159" s="1826" cm="1" t="str">
        <f t="array" ref="AZ159:AZ159">AZ152</f>
        <v>0</v>
      </c>
      <c r="BA159" s="1826" cm="1" t="str">
        <f t="array" ref="BA159:BA159">BA152</f>
        <v>0</v>
      </c>
      <c r="BB159" s="1826" cm="1" t="str">
        <f t="array" ref="BB159:BB159">BB152</f>
        <v>0</v>
      </c>
      <c r="BC159" s="1826" cm="1" t="str">
        <f t="array" ref="BC159:BC159">BC152</f>
        <v>0</v>
      </c>
      <c r="BD159" s="1826" cm="1" t="str">
        <f t="array" ref="BD159:BD159">BD152</f>
        <v>0</v>
      </c>
      <c r="BE159" s="1826" cm="1" t="str">
        <f t="array" ref="BE159:BE159">BE152</f>
        <v>0</v>
      </c>
      <c r="BF159" s="1826" cm="1" t="str">
        <f t="array" ref="BF159:BF159">BF152</f>
        <v>0</v>
      </c>
      <c r="BG159" s="1826" cm="1" t="str">
        <f t="array" ref="BG159:BG159">BG152</f>
        <v>0</v>
      </c>
      <c r="BH159" s="1826" cm="1" t="str">
        <f t="array" ref="BH159:BH159">BH152</f>
        <v>0</v>
      </c>
      <c r="BI159" s="1826" cm="1" t="str">
        <f t="array" ref="BI159:BI159">BI152</f>
        <v>0</v>
      </c>
      <c r="BJ159" s="1826" cm="1" t="str">
        <f t="array" ref="BJ159:BJ159">BJ152</f>
        <v>0</v>
      </c>
      <c r="BK159" s="1826" cm="1" t="str">
        <f t="array" ref="BK159:BK159">BK152</f>
        <v>0</v>
      </c>
      <c r="BL159" s="1826" cm="1" t="str">
        <f t="array" ref="BL159:BL159">BL152</f>
        <v>0</v>
      </c>
      <c r="BM159" s="1826" cm="1" t="str">
        <f t="array" ref="BM159:BM159">BM152</f>
        <v>0</v>
      </c>
      <c r="BN159" s="1826" cm="1" t="str">
        <f t="array" ref="BN159:BN159">BN152</f>
        <v>0</v>
      </c>
      <c r="BO159" s="1826" cm="1" t="str">
        <f t="array" ref="BO159:BO159">BO152</f>
        <v>0</v>
      </c>
      <c r="BP159" s="978">
        <v>422511.01</v>
      </c>
      <c r="BQ159" s="978">
        <v>226416.17</v>
      </c>
      <c r="BR159" s="978">
        <v>196094.84</v>
      </c>
      <c r="BS159" s="1809" cm="1" t="str">
        <f t="array" ref="BS159:BS159">BS152</f>
        <v>0</v>
      </c>
      <c r="BT159" s="1809" cm="1" t="str">
        <f t="array" ref="BT159:BT159">BT152</f>
        <v>0</v>
      </c>
      <c r="BU159" s="1809" cm="1" t="str">
        <f t="array" ref="BU159:BU159">BU152</f>
        <v>0</v>
      </c>
      <c r="BV159" s="1809" cm="1" t="str">
        <f t="array" ref="BV159:BV159">BV152</f>
        <v>0</v>
      </c>
      <c r="BW159" s="1809" cm="1" t="str">
        <f t="array" ref="BW159:BW159">BW152</f>
        <v>0</v>
      </c>
      <c r="BX159" s="1809" cm="1" t="str">
        <f t="array" ref="BX159:BX159">BX152</f>
        <v>0</v>
      </c>
      <c r="BY159" s="1826" cm="1" t="str">
        <f t="array" ref="BY159:BY159">BY152</f>
        <v>0</v>
      </c>
      <c r="BZ159" s="1826" cm="1" t="str">
        <f t="array" ref="BZ159:BZ159">BZ152</f>
        <v>0</v>
      </c>
      <c r="CA159" s="1826" cm="1" t="str">
        <f t="array" ref="CA159:CA159">CA152</f>
        <v>0</v>
      </c>
      <c r="CB159" s="1826" cm="1" t="str">
        <f t="array" ref="CB159:CB159">CB152</f>
        <v>0</v>
      </c>
      <c r="CC159" s="1826" cm="1" t="str">
        <f t="array" ref="CC159:CC159">CC152</f>
        <v>0</v>
      </c>
      <c r="CD159" s="1826" cm="1" t="str">
        <f t="array" ref="CD159:CD159">CD152</f>
        <v>0</v>
      </c>
      <c r="CE159" s="1826" cm="1" t="str">
        <f t="array" ref="CE159:CE159">CE152</f>
        <v>0</v>
      </c>
      <c r="CF159" s="1826" cm="1" t="str">
        <f t="array" ref="CF159:CF159">CF152</f>
        <v>0</v>
      </c>
      <c r="CG159" s="1826" cm="1" t="str">
        <f t="array" ref="CG159:CG159">CG152</f>
        <v>0</v>
      </c>
      <c r="CH159" s="1826" cm="1" t="str">
        <f t="array" ref="CH159:CH159">CH152</f>
        <v>0</v>
      </c>
      <c r="CI159" s="1826" cm="1" t="str">
        <f t="array" ref="CI159:CI159">CI152</f>
        <v>0</v>
      </c>
      <c r="CJ159" s="1826" cm="1" t="str">
        <f t="array" ref="CJ159:CJ159">CJ152</f>
        <v>0</v>
      </c>
      <c r="CK159" s="1826" cm="1" t="str">
        <f t="array" ref="CK159:CK159">CK152</f>
        <v>0</v>
      </c>
      <c r="CL159" s="1826" cm="1" t="str">
        <f t="array" ref="CL159:CL159">CL152</f>
        <v>0</v>
      </c>
      <c r="CM159" s="1826" cm="1" t="str">
        <f t="array" ref="CM159:CM159">CM152</f>
        <v>0</v>
      </c>
      <c r="CN159" s="1826" cm="1" t="str">
        <f t="array" ref="CN159:CN159">CN152</f>
        <v>0</v>
      </c>
      <c r="CO159" s="1826" cm="1" t="str">
        <f t="array" ref="CO159:CO159">CO152</f>
        <v>0</v>
      </c>
      <c r="CP159" s="1826" cm="1" t="str">
        <f t="array" ref="CP159:CP159">CP152</f>
        <v>0</v>
      </c>
      <c r="CQ159" s="1826" cm="1" t="str">
        <f t="array" ref="CQ159:CQ159">CQ152</f>
        <v>0</v>
      </c>
      <c r="CR159" s="1826" cm="1" t="str">
        <f t="array" ref="CR159:CR159">CR152</f>
        <v>0</v>
      </c>
      <c r="CS159" s="1826" cm="1" t="str">
        <f t="array" ref="CS159:CS159">CS152</f>
        <v>0</v>
      </c>
      <c r="CT159" s="1792"/>
      <c r="CU159" s="1642"/>
      <c r="CV159" s="1642"/>
      <c r="CW159" s="1171" t="s">
        <v>765</v>
      </c>
      <c r="CX159" s="1176"/>
      <c r="CY159" s="1176"/>
      <c r="CZ159" s="1176"/>
      <c r="DA159" s="1177"/>
      <c r="DB159" s="1177"/>
    </row>
    <row s="1642" customFormat="1" customHeight="1" ht="29.25">
      <c r="A160" s="1498"/>
      <c r="B160" s="925"/>
      <c r="C160" s="1498"/>
      <c r="D160" s="1498"/>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98"/>
      <c r="S160" s="156" cm="1" t="str">
        <f t="array" ref="S160:S160">OFFSET(T160,-1,-1)</f>
        <v>true</v>
      </c>
      <c r="T160" s="1498"/>
      <c r="U160" s="816">
        <f>AND(S160,IF(ISBLANK(T160),TRUE,T160))</f>
        <v>1</v>
      </c>
      <c r="V160" s="1498"/>
      <c r="W160" s="1498"/>
      <c r="X160" s="1498"/>
      <c r="Y160" s="1498"/>
      <c r="Z160" s="1498"/>
      <c r="AA160" s="817"/>
      <c r="AB160" s="1500"/>
      <c r="AC160" s="1642"/>
      <c r="AD160" s="157">
        <v>14</v>
      </c>
      <c r="AE160" s="1474" t="s">
        <v>766</v>
      </c>
      <c r="AF160" s="165"/>
      <c r="AG160" s="157" t="s">
        <v>767</v>
      </c>
      <c r="AH160" s="1826">
        <f>_xlfn.IFERROR(AH161/AH159*1000,0)</f>
        <v>0</v>
      </c>
      <c r="AI160" s="1826">
        <f>_xlfn.IFERROR(AI161/AI159*1000,0)</f>
        <v>0</v>
      </c>
      <c r="AJ160" s="1826">
        <f>_xlfn.IFERROR(AJ161/AJ159*1000,0)</f>
        <v>0</v>
      </c>
      <c r="AK160" s="1826">
        <f>_xlfn.IFERROR(AK161/AK159*1000,0)</f>
        <v>0</v>
      </c>
      <c r="AL160" s="1826"/>
      <c r="AM160" s="1826" cm="1" t="str">
        <f t="array" ref="AM160:AM160">AL160</f>
        <v>0</v>
      </c>
      <c r="AN160" s="1826" cm="1" t="str">
        <f t="array" ref="AN160:AN160">AL160</f>
        <v>0</v>
      </c>
      <c r="AO160" s="1809"/>
      <c r="AP160" s="1809" cm="1" t="str">
        <f t="array" ref="AP160:AP160">AO160</f>
        <v>0</v>
      </c>
      <c r="AQ160" s="1809" cm="1" t="str">
        <f t="array" ref="AQ160:AQ160">AO160</f>
        <v>0</v>
      </c>
      <c r="AR160" s="1809"/>
      <c r="AS160" s="1809" cm="1" t="str">
        <f t="array" ref="AS160:AS160">AR160</f>
        <v>0</v>
      </c>
      <c r="AT160" s="1809" cm="1" t="str">
        <f t="array" ref="AT160:AT160">AR160</f>
        <v>0</v>
      </c>
      <c r="AU160" s="1826"/>
      <c r="AV160" s="1826" cm="1" t="str">
        <f t="array" ref="AV160:AV160">AU160</f>
        <v>0</v>
      </c>
      <c r="AW160" s="1826" cm="1" t="str">
        <f t="array" ref="AW160:AW160">AU160</f>
        <v>0</v>
      </c>
      <c r="AX160" s="1826"/>
      <c r="AY160" s="1826" cm="1" t="str">
        <f t="array" ref="AY160:AY160">AX160</f>
        <v>0</v>
      </c>
      <c r="AZ160" s="1826" cm="1" t="str">
        <f t="array" ref="AZ160:AZ160">AX160</f>
        <v>0</v>
      </c>
      <c r="BA160" s="1826"/>
      <c r="BB160" s="1826" cm="1" t="str">
        <f t="array" ref="BB160:BB160">BA160</f>
        <v>0</v>
      </c>
      <c r="BC160" s="1826" cm="1" t="str">
        <f t="array" ref="BC160:BC160">BA160</f>
        <v>0</v>
      </c>
      <c r="BD160" s="1826"/>
      <c r="BE160" s="1826" cm="1" t="str">
        <f t="array" ref="BE160:BE160">BD160</f>
        <v>0</v>
      </c>
      <c r="BF160" s="1826" cm="1" t="str">
        <f t="array" ref="BF160:BF160">BD160</f>
        <v>0</v>
      </c>
      <c r="BG160" s="1826"/>
      <c r="BH160" s="1826" cm="1" t="str">
        <f t="array" ref="BH160:BH160">BG160</f>
        <v>0</v>
      </c>
      <c r="BI160" s="1826" cm="1" t="str">
        <f t="array" ref="BI160:BI160">BG160</f>
        <v>0</v>
      </c>
      <c r="BJ160" s="1826"/>
      <c r="BK160" s="1826" cm="1" t="str">
        <f t="array" ref="BK160:BK160">BJ160</f>
        <v>0</v>
      </c>
      <c r="BL160" s="1826" cm="1" t="str">
        <f t="array" ref="BL160:BL160">BJ160</f>
        <v>0</v>
      </c>
      <c r="BM160" s="1826"/>
      <c r="BN160" s="1826" cm="1" t="str">
        <f t="array" ref="BN160:BN160">BM160</f>
        <v>0</v>
      </c>
      <c r="BO160" s="1826" cm="1" t="str">
        <f t="array" ref="BO160:BO160">BM160</f>
        <v>0</v>
      </c>
      <c r="BP160" s="978"/>
      <c r="BQ160" s="978" cm="1" t="str">
        <f t="array" ref="BQ160:BQ160">BP160</f>
        <v>0</v>
      </c>
      <c r="BR160" s="978" cm="1" t="str">
        <f t="array" ref="BR160:BR160">BP160</f>
        <v>0</v>
      </c>
      <c r="BS160" s="1809"/>
      <c r="BT160" s="1809" cm="1" t="str">
        <f t="array" ref="BT160:BT160">BS160</f>
        <v>0</v>
      </c>
      <c r="BU160" s="1809" cm="1" t="str">
        <f t="array" ref="BU160:BU160">BS160</f>
        <v>0</v>
      </c>
      <c r="BV160" s="1809"/>
      <c r="BW160" s="1809" cm="1" t="str">
        <f t="array" ref="BW160:BW160">BV160</f>
        <v>0</v>
      </c>
      <c r="BX160" s="1809" cm="1" t="str">
        <f t="array" ref="BX160:BX160">BV160</f>
        <v>0</v>
      </c>
      <c r="BY160" s="1826"/>
      <c r="BZ160" s="1826" cm="1" t="str">
        <f t="array" ref="BZ160:BZ160">BY160</f>
        <v>0</v>
      </c>
      <c r="CA160" s="1826" cm="1" t="str">
        <f t="array" ref="CA160:CA160">BY160</f>
        <v>0</v>
      </c>
      <c r="CB160" s="1826"/>
      <c r="CC160" s="1826" cm="1" t="str">
        <f t="array" ref="CC160:CC160">CB160</f>
        <v>0</v>
      </c>
      <c r="CD160" s="1826" cm="1" t="str">
        <f t="array" ref="CD160:CD160">CB160</f>
        <v>0</v>
      </c>
      <c r="CE160" s="1826"/>
      <c r="CF160" s="1826" cm="1" t="str">
        <f t="array" ref="CF160:CF160">CE160</f>
        <v>0</v>
      </c>
      <c r="CG160" s="1826" cm="1" t="str">
        <f t="array" ref="CG160:CG160">CE160</f>
        <v>0</v>
      </c>
      <c r="CH160" s="1826"/>
      <c r="CI160" s="1826" cm="1" t="str">
        <f t="array" ref="CI160:CI160">CH160</f>
        <v>0</v>
      </c>
      <c r="CJ160" s="1826" cm="1" t="str">
        <f t="array" ref="CJ160:CJ160">CH160</f>
        <v>0</v>
      </c>
      <c r="CK160" s="1826"/>
      <c r="CL160" s="1826" cm="1" t="str">
        <f t="array" ref="CL160:CL160">CK160</f>
        <v>0</v>
      </c>
      <c r="CM160" s="1826" cm="1" t="str">
        <f t="array" ref="CM160:CM160">CK160</f>
        <v>0</v>
      </c>
      <c r="CN160" s="1826"/>
      <c r="CO160" s="1826" cm="1" t="str">
        <f t="array" ref="CO160:CO160">CN160</f>
        <v>0</v>
      </c>
      <c r="CP160" s="1826" cm="1" t="str">
        <f t="array" ref="CP160:CP160">CN160</f>
        <v>0</v>
      </c>
      <c r="CQ160" s="1826"/>
      <c r="CR160" s="1826" cm="1" t="str">
        <f t="array" ref="CR160:CR160">CQ160</f>
        <v>0</v>
      </c>
      <c r="CS160" s="1826" cm="1" t="str">
        <f t="array" ref="CS160:CS160">CQ160</f>
        <v>0</v>
      </c>
      <c r="CT160" s="1792"/>
      <c r="CU160" s="1642"/>
      <c r="CV160" s="1642"/>
      <c r="CW160" s="1171" t="s">
        <v>768</v>
      </c>
      <c r="CX160" s="1176"/>
      <c r="CY160" s="1176"/>
      <c r="CZ160" s="1176"/>
      <c r="DA160" s="1177"/>
      <c r="DB160" s="1177"/>
    </row>
    <row s="1642" customFormat="1" customHeight="1" ht="16.5">
      <c r="A161" s="1498"/>
      <c r="B161" s="925"/>
      <c r="C161" s="1498"/>
      <c r="D161" s="1498"/>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98"/>
      <c r="S161" s="156" cm="1" t="str">
        <f t="array" ref="S161:S161">OFFSET(T161,-1,-1)</f>
        <v>true</v>
      </c>
      <c r="T161" s="1498"/>
      <c r="U161" s="816">
        <f>AND(S161,IF(ISBLANK(T161),TRUE,T161))</f>
        <v>1</v>
      </c>
      <c r="V161" s="1498"/>
      <c r="W161" s="1498"/>
      <c r="X161" s="1498"/>
      <c r="Y161" s="1498"/>
      <c r="Z161" s="1498"/>
      <c r="AA161" s="817"/>
      <c r="AB161" s="1463" t="s">
        <v>769</v>
      </c>
      <c r="AC161" s="1642"/>
      <c r="AD161" s="157">
        <v>15</v>
      </c>
      <c r="AE161" s="1474" t="s">
        <v>770</v>
      </c>
      <c r="AF161" s="165"/>
      <c r="AG161" s="157" t="s">
        <v>763</v>
      </c>
      <c r="AH161" s="1826"/>
      <c r="AI161" s="1826"/>
      <c r="AJ161" s="1826"/>
      <c r="AK161" s="1826"/>
      <c r="AL161" s="858">
        <f>AM161+AN161</f>
        <v>0</v>
      </c>
      <c r="AM161" s="1826">
        <f>AM160*AM159/1000</f>
        <v>0</v>
      </c>
      <c r="AN161" s="1826">
        <f>AN160*AN159/1000</f>
        <v>0</v>
      </c>
      <c r="AO161" s="858">
        <f>AP161+AQ161</f>
        <v>0</v>
      </c>
      <c r="AP161" s="1809">
        <f>AP160*AP159/1000</f>
        <v>0</v>
      </c>
      <c r="AQ161" s="1809">
        <f>AQ160*AQ159/1000</f>
        <v>0</v>
      </c>
      <c r="AR161" s="858">
        <f>AS161+AT161</f>
        <v>0</v>
      </c>
      <c r="AS161" s="1809">
        <f>AS160*AS159/1000</f>
        <v>0</v>
      </c>
      <c r="AT161" s="1809">
        <f>AT160*AT159/1000</f>
        <v>0</v>
      </c>
      <c r="AU161" s="858">
        <f>AV161+AW161</f>
        <v>0</v>
      </c>
      <c r="AV161" s="1826">
        <f>AV160*AV159/1000</f>
        <v>0</v>
      </c>
      <c r="AW161" s="1826">
        <f>AW160*AW159/1000</f>
        <v>0</v>
      </c>
      <c r="AX161" s="858">
        <f>AY161+AZ161</f>
        <v>0</v>
      </c>
      <c r="AY161" s="1826">
        <f>AY160*AY159/1000</f>
        <v>0</v>
      </c>
      <c r="AZ161" s="1826">
        <f>AZ160*AZ159/1000</f>
        <v>0</v>
      </c>
      <c r="BA161" s="858">
        <f>BB161+BC161</f>
        <v>0</v>
      </c>
      <c r="BB161" s="1826">
        <f>BB160*BB159/1000</f>
        <v>0</v>
      </c>
      <c r="BC161" s="1826">
        <f>BC160*BC159/1000</f>
        <v>0</v>
      </c>
      <c r="BD161" s="858">
        <f>BE161+BF161</f>
        <v>0</v>
      </c>
      <c r="BE161" s="1826">
        <f>BE160*BE159/1000</f>
        <v>0</v>
      </c>
      <c r="BF161" s="1826">
        <f>BF160*BF159/1000</f>
        <v>0</v>
      </c>
      <c r="BG161" s="858">
        <f>BH161+BI161</f>
        <v>0</v>
      </c>
      <c r="BH161" s="1826">
        <f>BH160*BH159/1000</f>
        <v>0</v>
      </c>
      <c r="BI161" s="1826">
        <f>BI160*BI159/1000</f>
        <v>0</v>
      </c>
      <c r="BJ161" s="858">
        <f>BK161+BL161</f>
        <v>0</v>
      </c>
      <c r="BK161" s="1826">
        <f>BK160*BK159/1000</f>
        <v>0</v>
      </c>
      <c r="BL161" s="1826">
        <f>BL160*BL159/1000</f>
        <v>0</v>
      </c>
      <c r="BM161" s="858">
        <f>BN161+BO161</f>
        <v>0</v>
      </c>
      <c r="BN161" s="1826">
        <f>BN160*BN159/1000</f>
        <v>0</v>
      </c>
      <c r="BO161" s="1826">
        <f>BO160*BO159/1000</f>
        <v>0</v>
      </c>
      <c r="BP161" s="858">
        <f>BQ161+BR161</f>
        <v>0</v>
      </c>
      <c r="BQ161" s="978">
        <f>BQ160*BQ159/1000</f>
        <v>0</v>
      </c>
      <c r="BR161" s="978">
        <f>BR160*BR159/1000</f>
        <v>0</v>
      </c>
      <c r="BS161" s="858">
        <f>BT161+BU161</f>
        <v>0</v>
      </c>
      <c r="BT161" s="1809">
        <f>BT160*BT159/1000</f>
        <v>0</v>
      </c>
      <c r="BU161" s="1809">
        <f>BU160*BU159/1000</f>
        <v>0</v>
      </c>
      <c r="BV161" s="858">
        <f>BW161+BX161</f>
        <v>0</v>
      </c>
      <c r="BW161" s="1809">
        <f>BW160*BW159/1000</f>
        <v>0</v>
      </c>
      <c r="BX161" s="1809">
        <f>BX160*BX159/1000</f>
        <v>0</v>
      </c>
      <c r="BY161" s="858">
        <f>BZ161+CA161</f>
        <v>0</v>
      </c>
      <c r="BZ161" s="1826">
        <f>BZ160*BZ159/1000</f>
        <v>0</v>
      </c>
      <c r="CA161" s="1826">
        <f>CA160*CA159/1000</f>
        <v>0</v>
      </c>
      <c r="CB161" s="858">
        <f>CC161+CD161</f>
        <v>0</v>
      </c>
      <c r="CC161" s="1826">
        <f>CC160*CC159/1000</f>
        <v>0</v>
      </c>
      <c r="CD161" s="1826">
        <f>CD160*CD159/1000</f>
        <v>0</v>
      </c>
      <c r="CE161" s="858">
        <f>CF161+CG161</f>
        <v>0</v>
      </c>
      <c r="CF161" s="1826">
        <f>CF160*CF159/1000</f>
        <v>0</v>
      </c>
      <c r="CG161" s="1826">
        <f>CG160*CG159/1000</f>
        <v>0</v>
      </c>
      <c r="CH161" s="858">
        <f>CI161+CJ161</f>
        <v>0</v>
      </c>
      <c r="CI161" s="1826">
        <f>CI160*CI159/1000</f>
        <v>0</v>
      </c>
      <c r="CJ161" s="1826">
        <f>CJ160*CJ159/1000</f>
        <v>0</v>
      </c>
      <c r="CK161" s="858">
        <f>CL161+CM161</f>
        <v>0</v>
      </c>
      <c r="CL161" s="1826">
        <f>CL160*CL159/1000</f>
        <v>0</v>
      </c>
      <c r="CM161" s="1826">
        <f>CM160*CM159/1000</f>
        <v>0</v>
      </c>
      <c r="CN161" s="858">
        <f>CO161+CP161</f>
        <v>0</v>
      </c>
      <c r="CO161" s="1826">
        <f>CO160*CO159/1000</f>
        <v>0</v>
      </c>
      <c r="CP161" s="1826">
        <f>CP160*CP159/1000</f>
        <v>0</v>
      </c>
      <c r="CQ161" s="858">
        <f>CR161+CS161</f>
        <v>0</v>
      </c>
      <c r="CR161" s="1826">
        <f>CR160*CR159/1000</f>
        <v>0</v>
      </c>
      <c r="CS161" s="1826">
        <f>CS160*CS159/1000</f>
        <v>0</v>
      </c>
      <c r="CT161" s="1792"/>
      <c r="CU161" s="1642"/>
      <c r="CV161" s="1642"/>
      <c r="CW161" s="1171" t="s">
        <v>771</v>
      </c>
      <c r="CX161" s="1176"/>
      <c r="CY161" s="1176"/>
      <c r="CZ161" s="1176"/>
      <c r="DA161" s="1177"/>
      <c r="DB161" s="1177"/>
    </row>
    <row s="1642" customFormat="1" customHeight="1" ht="16.5">
      <c r="A162" s="1498"/>
      <c r="B162" s="925"/>
      <c r="C162" s="1498"/>
      <c r="D162" s="1498"/>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98"/>
      <c r="S162" s="156" cm="1" t="str">
        <f t="array" ref="S162:S162">OFFSET(T162,-1,-1)</f>
        <v>true</v>
      </c>
      <c r="T162" s="1498"/>
      <c r="U162" s="816">
        <f>AND(S162,IF(ISBLANK(T162),TRUE,T162))</f>
        <v>1</v>
      </c>
      <c r="V162" s="1498"/>
      <c r="W162" s="1498"/>
      <c r="X162" s="1498"/>
      <c r="Y162" s="1498"/>
      <c r="Z162" s="1498"/>
      <c r="AA162" s="817"/>
      <c r="AB162" s="1464"/>
      <c r="AC162" s="1642"/>
      <c r="AD162" s="157">
        <v>16</v>
      </c>
      <c r="AE162" s="1474" t="s">
        <v>772</v>
      </c>
      <c r="AF162" s="165"/>
      <c r="AG162" s="157" t="s">
        <v>763</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92"/>
      <c r="CU162" s="1642"/>
      <c r="CV162" s="1642"/>
      <c r="CW162" s="1171" t="s">
        <v>773</v>
      </c>
      <c r="CX162" s="1176"/>
      <c r="CY162" s="1176"/>
      <c r="CZ162" s="1176"/>
      <c r="DA162" s="1177"/>
      <c r="DB162" s="1177"/>
    </row>
    <row s="1642" customFormat="1" customHeight="1" ht="16.5" hidden="1">
      <c r="A163" s="1498"/>
      <c r="B163" s="925"/>
      <c r="C163" s="1498"/>
      <c r="D163" s="1498"/>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719</v>
      </c>
      <c r="S163" s="156" cm="1" t="str">
        <f t="array" ref="S163:S163">OFFSET(T163,-1,-1)</f>
        <v>true</v>
      </c>
      <c r="T163" s="156" cm="1" t="str">
        <f t="array" ref="T163:T163">L163</f>
        <v>false</v>
      </c>
      <c r="U163" s="816">
        <f>AND(S163,IF(ISBLANK(T163),TRUE,T163))</f>
        <v>0</v>
      </c>
      <c r="V163" s="1498"/>
      <c r="W163" s="1498"/>
      <c r="X163" s="1498"/>
      <c r="Y163" s="1498"/>
      <c r="Z163" s="1498"/>
      <c r="AA163" s="817"/>
      <c r="AB163" s="1464"/>
      <c r="AC163" s="1642"/>
      <c r="AD163" s="157">
        <v>17</v>
      </c>
      <c r="AE163" s="1474" t="s">
        <v>774</v>
      </c>
      <c r="AF163" s="165"/>
      <c r="AG163" s="157" t="s">
        <v>485</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42"/>
      <c r="CV163" s="1642"/>
      <c r="CW163" s="1171" t="s">
        <v>775</v>
      </c>
      <c r="CX163" s="1176"/>
      <c r="CY163" s="1176"/>
      <c r="CZ163" s="1176"/>
      <c r="DA163" s="1177"/>
      <c r="DB163" s="1177"/>
    </row>
    <row s="1642" customFormat="1" customHeight="1" ht="16.5">
      <c r="A164" s="1498"/>
      <c r="B164" s="925"/>
      <c r="C164" s="1498"/>
      <c r="D164" s="1498"/>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98"/>
      <c r="S164" s="156" cm="1" t="str">
        <f t="array" ref="S164:S164">OFFSET(T164,-1,-1)</f>
        <v>true</v>
      </c>
      <c r="T164" s="1498"/>
      <c r="U164" s="816">
        <f>AND(S164,IF(ISBLANK(T164),TRUE,T164))</f>
        <v>1</v>
      </c>
      <c r="V164" s="1498"/>
      <c r="W164" s="1498"/>
      <c r="X164" s="1498"/>
      <c r="Y164" s="1498"/>
      <c r="Z164" s="1498"/>
      <c r="AA164" s="817"/>
      <c r="AB164" s="1464"/>
      <c r="AC164" s="1642"/>
      <c r="AD164" s="157">
        <v>18</v>
      </c>
      <c r="AE164" s="1474" t="s">
        <v>776</v>
      </c>
      <c r="AF164" s="165"/>
      <c r="AG164" s="157" t="s">
        <v>763</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92"/>
      <c r="CU164" s="1642"/>
      <c r="CV164" s="1642"/>
      <c r="CW164" s="1171" t="s">
        <v>777</v>
      </c>
      <c r="CX164" s="1176"/>
      <c r="CY164" s="1176"/>
      <c r="CZ164" s="1176"/>
      <c r="DA164" s="1177"/>
      <c r="DB164" s="1177"/>
    </row>
    <row s="1642" customFormat="1" customHeight="1" ht="16.5" hidden="1">
      <c r="A165" s="1498"/>
      <c r="B165" s="925"/>
      <c r="C165" s="1498"/>
      <c r="D165" s="1498"/>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719</v>
      </c>
      <c r="S165" s="156" cm="1" t="str">
        <f t="array" ref="S165:S165">OFFSET(T165,-1,-1)</f>
        <v>true</v>
      </c>
      <c r="T165" s="156" cm="1" t="str">
        <f t="array" ref="T165:T165">L165</f>
        <v>false</v>
      </c>
      <c r="U165" s="816">
        <f>AND(S165,IF(ISBLANK(T165),TRUE,T165))</f>
        <v>0</v>
      </c>
      <c r="V165" s="1498"/>
      <c r="W165" s="1498"/>
      <c r="X165" s="1498"/>
      <c r="Y165" s="1498"/>
      <c r="Z165" s="1498"/>
      <c r="AA165" s="817"/>
      <c r="AB165" s="1464"/>
      <c r="AC165" s="1642"/>
      <c r="AD165" s="157" t="s">
        <v>778</v>
      </c>
      <c r="AE165" s="1474" t="s">
        <v>730</v>
      </c>
      <c r="AF165" s="165"/>
      <c r="AG165" s="157" t="s">
        <v>763</v>
      </c>
      <c r="AH165" s="87">
        <f>AH$163*AH164</f>
        <v>0</v>
      </c>
      <c r="AI165" s="88">
        <f>AI$163*AI164</f>
        <v>0</v>
      </c>
      <c r="AJ165" s="88">
        <f>AJ$163*AJ164</f>
        <v>0</v>
      </c>
      <c r="AK165" s="88">
        <f>AK$163*AK164</f>
        <v>0</v>
      </c>
      <c r="AL165" s="858">
        <f>AM165+AN165</f>
        <v>0</v>
      </c>
      <c r="AM165" s="88">
        <f>AM$163*AM164</f>
        <v>0</v>
      </c>
      <c r="AN165" s="88">
        <f>AN$163*AN164</f>
        <v>0</v>
      </c>
      <c r="AO165" s="858">
        <f>AP165+AQ165</f>
        <v>0</v>
      </c>
      <c r="AP165" s="1806">
        <f>AP$163*AP164</f>
        <v>0</v>
      </c>
      <c r="AQ165" s="1806">
        <f>AQ$163*AQ164</f>
        <v>0</v>
      </c>
      <c r="AR165" s="858">
        <f>AS165+AT165</f>
        <v>0</v>
      </c>
      <c r="AS165" s="1806">
        <f>AS$163*AS164</f>
        <v>0</v>
      </c>
      <c r="AT165" s="1806">
        <f>AT$163*AT164</f>
        <v>0</v>
      </c>
      <c r="AU165" s="858">
        <f>AV165+AW165</f>
        <v>0</v>
      </c>
      <c r="AV165" s="88">
        <f>AV$163*AV164</f>
        <v>0</v>
      </c>
      <c r="AW165" s="88">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806">
        <f>BT$163*BT164</f>
        <v>0</v>
      </c>
      <c r="BU165" s="1806">
        <f>BU$163*BU164</f>
        <v>0</v>
      </c>
      <c r="BV165" s="858">
        <f>BW165+BX165</f>
        <v>0</v>
      </c>
      <c r="BW165" s="1806">
        <f>BW$163*BW164</f>
        <v>0</v>
      </c>
      <c r="BX165" s="1806">
        <f>BX$163*BX164</f>
        <v>0</v>
      </c>
      <c r="BY165" s="858">
        <f>BZ165+CA165</f>
        <v>0</v>
      </c>
      <c r="BZ165" s="88">
        <f>BZ$163*BZ164</f>
        <v>0</v>
      </c>
      <c r="CA165" s="88">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42"/>
      <c r="CV165" s="1642"/>
      <c r="CW165" s="1171" t="s">
        <v>779</v>
      </c>
      <c r="CX165" s="1176"/>
      <c r="CY165" s="1176"/>
      <c r="CZ165" s="1176"/>
      <c r="DA165" s="1177"/>
      <c r="DB165" s="1177"/>
    </row>
    <row s="1642" customFormat="1" customHeight="1" ht="16.5" hidden="1">
      <c r="A166" s="1498"/>
      <c r="B166" s="925"/>
      <c r="C166" s="1498"/>
      <c r="D166" s="1498"/>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98"/>
      <c r="S166" s="156" cm="1" t="str">
        <f t="array" ref="S166:S166">OFFSET(T166,-1,-1)</f>
        <v>true</v>
      </c>
      <c r="T166" s="156">
        <f>AD166&lt;&gt;"18.0"</f>
        <v>0</v>
      </c>
      <c r="U166" s="816">
        <f>AND(S166,IF(ISBLANK(T166),TRUE,T166))</f>
        <v>0</v>
      </c>
      <c r="V166" s="1498"/>
      <c r="W166" s="1498"/>
      <c r="X166" s="156" t="s">
        <v>235</v>
      </c>
      <c r="Y166" s="1498"/>
      <c r="Z166" s="1498"/>
      <c r="AA166" s="817"/>
      <c r="AB166" s="1464"/>
      <c r="AC166" s="915" t="s">
        <v>219</v>
      </c>
      <c r="AD166" s="157" t="s">
        <v>778</v>
      </c>
      <c r="AE166" s="89"/>
      <c r="AF166" s="90"/>
      <c r="AG166" s="157" t="s">
        <v>763</v>
      </c>
      <c r="AH166" s="87">
        <f>AH$162*AH169</f>
        <v>0</v>
      </c>
      <c r="AI166" s="87">
        <f>AI175*AI172</f>
        <v>0</v>
      </c>
      <c r="AJ166" s="87">
        <f>AJ175*AJ172</f>
        <v>0</v>
      </c>
      <c r="AK166" s="87">
        <f>AK$162*AK169</f>
        <v>0</v>
      </c>
      <c r="AL166" s="858">
        <f>AM166+AN166</f>
        <v>0</v>
      </c>
      <c r="AM166" s="87">
        <f>AM$162*AM169</f>
        <v>0</v>
      </c>
      <c r="AN166" s="87">
        <f>AN$162*AN169</f>
        <v>0</v>
      </c>
      <c r="AO166" s="858">
        <f>AP166+AQ166</f>
        <v>0</v>
      </c>
      <c r="AP166" s="1809">
        <f>AP$162*AP169</f>
        <v>0</v>
      </c>
      <c r="AQ166" s="1809">
        <f>AQ$162*AQ169</f>
        <v>0</v>
      </c>
      <c r="AR166" s="858">
        <f>AS166+AT166</f>
        <v>0</v>
      </c>
      <c r="AS166" s="1809">
        <f>AS$162*AS169</f>
        <v>0</v>
      </c>
      <c r="AT166" s="1809">
        <f>AT$162*AT169</f>
        <v>0</v>
      </c>
      <c r="AU166" s="858">
        <f>AV166+AW166</f>
        <v>0</v>
      </c>
      <c r="AV166" s="87">
        <f>AV$162*AV169</f>
        <v>0</v>
      </c>
      <c r="AW166" s="87">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809">
        <f>BT$162*BT169</f>
        <v>0</v>
      </c>
      <c r="BU166" s="1809">
        <f>BU$162*BU169</f>
        <v>0</v>
      </c>
      <c r="BV166" s="858">
        <f>BW166+BX166</f>
        <v>0</v>
      </c>
      <c r="BW166" s="1809">
        <f>BW$162*BW169</f>
        <v>0</v>
      </c>
      <c r="BX166" s="1809">
        <f>BX$162*BX169</f>
        <v>0</v>
      </c>
      <c r="BY166" s="858">
        <f>BZ166+CA166</f>
        <v>0</v>
      </c>
      <c r="BZ166" s="87">
        <f>BZ$162*BZ169</f>
        <v>0</v>
      </c>
      <c r="CA166" s="87">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42"/>
      <c r="CV166" s="1642"/>
      <c r="CW166" s="1171" t="s">
        <v>780</v>
      </c>
      <c r="CX166" s="1176" t="s">
        <v>781</v>
      </c>
      <c r="CY166" s="1180" cm="1" t="str">
        <f t="array" ref="CY166:CY166">AE166</f>
        <v>0</v>
      </c>
      <c r="CZ166" s="1180" cm="1" t="str">
        <f t="array" ref="CZ166:CZ166">AF166</f>
        <v>0</v>
      </c>
      <c r="DA166" s="1177"/>
      <c r="DB166" s="1177" t="b">
        <v>1</v>
      </c>
    </row>
    <row s="1642" customFormat="1" customHeight="1" ht="16.5">
      <c r="A167" s="1498"/>
      <c r="B167" s="925"/>
      <c r="C167" s="1498"/>
      <c r="D167" s="1498"/>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98"/>
      <c r="S167" s="156" cm="1" t="str">
        <f t="array" ref="S167:S167">OFFSET(T167,-1,-1)</f>
        <v>true</v>
      </c>
      <c r="T167" s="1498"/>
      <c r="U167" s="816">
        <f>AND(S167,IF(ISBLANK(T167),TRUE,T167))</f>
        <v>1</v>
      </c>
      <c r="V167" s="1498"/>
      <c r="W167" s="1498"/>
      <c r="X167" s="971" t="str">
        <f>"{                  
         funcDyn: 'msg',
         blok: 'blok_2',
         wsCross: 'Топливо 4.4',
         linkFormula: 'AE-AE#AF-AF',
         levelDyn: "&amp;Y139&amp;"
}"</f>
        <v>{                  
         funcDyn: 'msg',
         blok: 'blok_2',
         wsCross: 'Топливо 4.4',
         linkFormula: 'AE-AE#AF-AF',
         levelDyn: 1
}</v>
      </c>
      <c r="Y167" s="1498"/>
      <c r="Z167" s="1498"/>
      <c r="AA167" s="817"/>
      <c r="AB167" s="1464"/>
      <c r="AC167" s="1642"/>
      <c r="AD167" s="299"/>
      <c r="AE167" s="901" t="s">
        <v>237</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42"/>
      <c r="CV167" s="1642"/>
      <c r="CW167" s="1171" t="str">
        <f>IF(AND(ISNUMBER(VALUE(TRIM(SUBSTITUTE(AD167,".","")))),TRIM(SUBSTITUTE(AD167,".",""))&lt;&gt;""),"P"&amp;SUBSTITUTE(AD167,".",""),"")</f>
        <v/>
      </c>
      <c r="CX167" s="1176"/>
      <c r="CY167" s="1176"/>
      <c r="CZ167" s="1176"/>
      <c r="DA167" s="1177" t="s">
        <v>781</v>
      </c>
      <c r="DB167" s="1177"/>
    </row>
    <row s="1642" customFormat="1" customHeight="1" ht="16.5">
      <c r="A168" s="1498"/>
      <c r="B168" s="925"/>
      <c r="C168" s="1498"/>
      <c r="D168" s="1498"/>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98"/>
      <c r="S168" s="156" cm="1" t="str">
        <f t="array" ref="S168:S168">OFFSET(T168,-1,-1)</f>
        <v>true</v>
      </c>
      <c r="T168" s="1498"/>
      <c r="U168" s="816">
        <f>AND(S168,IF(ISBLANK(T168),TRUE,T168))</f>
        <v>1</v>
      </c>
      <c r="V168" s="1498"/>
      <c r="W168" s="1498"/>
      <c r="X168" s="1498"/>
      <c r="Y168" s="1498"/>
      <c r="Z168" s="1498"/>
      <c r="AA168" s="817"/>
      <c r="AB168" s="1464"/>
      <c r="AC168" s="1642"/>
      <c r="AD168" s="157">
        <v>19</v>
      </c>
      <c r="AE168" s="1501" t="s">
        <v>782</v>
      </c>
      <c r="AF168" s="1502"/>
      <c r="AG168" s="640" t="s">
        <v>485</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828"/>
      <c r="CU168" s="1642"/>
      <c r="CV168" s="1642"/>
      <c r="CW168" s="1171" t="s">
        <v>783</v>
      </c>
      <c r="CX168" s="1176"/>
      <c r="CY168" s="1176"/>
      <c r="CZ168" s="1176"/>
      <c r="DA168" s="1177"/>
      <c r="DB168" s="1177"/>
    </row>
    <row s="1642" customFormat="1" customHeight="1" ht="16.5" hidden="1">
      <c r="A169" s="1498"/>
      <c r="B169" s="925"/>
      <c r="C169" s="1498"/>
      <c r="D169" s="1498"/>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98"/>
      <c r="S169" s="156" cm="1" t="str">
        <f t="array" ref="S169:S169">OFFSET(T169,-1,-1)</f>
        <v>true</v>
      </c>
      <c r="T169" s="156">
        <f>AD169&lt;&gt;"19.0"</f>
        <v>0</v>
      </c>
      <c r="U169" s="816">
        <f>AND(S169,IF(ISBLANK(T169),TRUE,T169))</f>
        <v>0</v>
      </c>
      <c r="V169" s="1498"/>
      <c r="W169" s="1498"/>
      <c r="X169" s="156" t="s">
        <v>235</v>
      </c>
      <c r="Y169" s="1498"/>
      <c r="Z169" s="1498"/>
      <c r="AA169" s="817"/>
      <c r="AB169" s="1464"/>
      <c r="AC169" s="1642"/>
      <c r="AD169" s="157" t="s">
        <v>784</v>
      </c>
      <c r="AE169" s="972"/>
      <c r="AF169" s="622"/>
      <c r="AG169" s="157" t="s">
        <v>485</v>
      </c>
      <c r="AH169" s="91"/>
      <c r="AI169" s="91">
        <f>_xlfn.IFERROR(AI166/AI$164,0)</f>
        <v>0</v>
      </c>
      <c r="AJ169" s="91">
        <f>_xlfn.IFERROR(AJ166/AJ$164,0)</f>
        <v>0</v>
      </c>
      <c r="AK169" s="91"/>
      <c r="AL169" s="864">
        <f>_xlfn.IFERROR(AL166/AL$162,0)</f>
        <v>0</v>
      </c>
      <c r="AM169" s="91"/>
      <c r="AN169" s="91"/>
      <c r="AO169" s="864">
        <f>_xlfn.IFERROR(AO166/AO$162,0)</f>
        <v>0</v>
      </c>
      <c r="AP169" s="1813"/>
      <c r="AQ169" s="1813"/>
      <c r="AR169" s="864">
        <f>_xlfn.IFERROR(AR166/AR$162,0)</f>
        <v>0</v>
      </c>
      <c r="AS169" s="1813"/>
      <c r="AT169" s="1813"/>
      <c r="AU169" s="864">
        <f>_xlfn.IFERROR(AU166/AU$162,0)</f>
        <v>0</v>
      </c>
      <c r="AV169" s="91"/>
      <c r="AW169" s="91"/>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813"/>
      <c r="BU169" s="1813"/>
      <c r="BV169" s="864">
        <f>_xlfn.IFERROR(BV166/BV$162,0)</f>
        <v>0</v>
      </c>
      <c r="BW169" s="1813"/>
      <c r="BX169" s="1813"/>
      <c r="BY169" s="864">
        <f>_xlfn.IFERROR(BY166/BY$162,0)</f>
        <v>0</v>
      </c>
      <c r="BZ169" s="91"/>
      <c r="CA169" s="91"/>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42"/>
      <c r="CV169" s="1642"/>
      <c r="CW169" s="1171" t="s">
        <v>783</v>
      </c>
      <c r="CX169" s="1176" t="s">
        <v>781</v>
      </c>
      <c r="CY169" s="1180" cm="1" t="str">
        <f t="array" ref="CY169:CY169">AE169</f>
        <v>0</v>
      </c>
      <c r="CZ169" s="1180" cm="1" t="str">
        <f t="array" ref="CZ169:CZ169">AF169</f>
        <v>0</v>
      </c>
      <c r="DA169" s="1177"/>
      <c r="DB169" s="1177"/>
    </row>
    <row s="1642" customFormat="1" customHeight="1" ht="17.25" hidden="1">
      <c r="A170" s="1498"/>
      <c r="B170" s="925"/>
      <c r="C170" s="1498"/>
      <c r="D170" s="1498"/>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98"/>
      <c r="S170" s="156" cm="1" t="str">
        <f t="array" ref="S170:S170">OFFSET(T170,-1,-1)</f>
        <v>true</v>
      </c>
      <c r="T170" s="1498"/>
      <c r="U170" s="816">
        <f>AND(S170,IF(ISBLANK(T170),TRUE,T170))</f>
        <v>1</v>
      </c>
      <c r="V170" s="1498"/>
      <c r="W170" s="1498"/>
      <c r="X170" s="971" t="str">
        <f>"{                  
         funcDyn: 'msg1',
         blok: 'blok_2',
         wsCross: 'Топливо 4.4',
         linkFormula: 'AE-AE#AF-AF',
         levelDyn: "&amp;Y139&amp;"
}"</f>
        <v>{                  
         funcDyn: 'msg1',
         blok: 'blok_2',
         wsCross: 'Топливо 4.4',
         linkFormula: 'AE-AE#AF-AF',
         levelDyn: 1
}</v>
      </c>
      <c r="Y170" s="1498"/>
      <c r="Z170" s="1498"/>
      <c r="AA170" s="817"/>
      <c r="AB170" s="1464"/>
      <c r="AC170" s="1642"/>
      <c r="AD170" s="974"/>
      <c r="AE170" s="973" t="s">
        <v>237</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42"/>
      <c r="CV170" s="1642"/>
      <c r="CW170" s="1171" t="str">
        <f>IF(AND(ISNUMBER(VALUE(TRIM(SUBSTITUTE(AD170,".","")))),TRIM(SUBSTITUTE(AD170,".",""))&lt;&gt;""),"P"&amp;SUBSTITUTE(AD170,".",""),"")</f>
        <v/>
      </c>
      <c r="CX170" s="1176"/>
      <c r="CY170" s="1176"/>
      <c r="CZ170" s="1176"/>
      <c r="DA170" s="1177"/>
      <c r="DB170" s="1177"/>
    </row>
    <row s="1642" customFormat="1" customHeight="1" ht="16.5">
      <c r="A171" s="1498"/>
      <c r="B171" s="925"/>
      <c r="C171" s="1498"/>
      <c r="D171" s="1498"/>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98"/>
      <c r="S171" s="156" cm="1" t="str">
        <f t="array" ref="S171:S171">OFFSET(T171,-1,-1)</f>
        <v>true</v>
      </c>
      <c r="T171" s="1498"/>
      <c r="U171" s="816">
        <f>AND(S171,IF(ISBLANK(T171),TRUE,T171))</f>
        <v>1</v>
      </c>
      <c r="V171" s="1498"/>
      <c r="W171" s="1498"/>
      <c r="X171" s="1498"/>
      <c r="Y171" s="1498"/>
      <c r="Z171" s="1498"/>
      <c r="AA171" s="817"/>
      <c r="AB171" s="1464"/>
      <c r="AC171" s="1642"/>
      <c r="AD171" s="157">
        <v>20</v>
      </c>
      <c r="AE171" s="1474" t="s">
        <v>785</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92"/>
      <c r="CU171" s="1642"/>
      <c r="CV171" s="1642"/>
      <c r="CW171" s="1171" t="s">
        <v>786</v>
      </c>
      <c r="CX171" s="1176"/>
      <c r="CY171" s="1176"/>
      <c r="CZ171" s="1176"/>
      <c r="DA171" s="1177"/>
      <c r="DB171" s="1177"/>
    </row>
    <row s="1642" customFormat="1" customHeight="1" ht="16.5" hidden="1">
      <c r="A172" s="1498"/>
      <c r="B172" s="925"/>
      <c r="C172" s="1498"/>
      <c r="D172" s="1498"/>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98"/>
      <c r="S172" s="156" cm="1" t="str">
        <f t="array" ref="S172:S172">OFFSET(T172,-1,-1)</f>
        <v>true</v>
      </c>
      <c r="T172" s="156">
        <f>AD172&lt;&gt;"20.0"</f>
        <v>0</v>
      </c>
      <c r="U172" s="816">
        <f>AND(S172,IF(ISBLANK(T172),TRUE,T172))</f>
        <v>0</v>
      </c>
      <c r="V172" s="1498"/>
      <c r="W172" s="1498"/>
      <c r="X172" s="156" t="s">
        <v>235</v>
      </c>
      <c r="Y172" s="1498"/>
      <c r="Z172" s="1498"/>
      <c r="AA172" s="817"/>
      <c r="AB172" s="1464"/>
      <c r="AC172" s="1642"/>
      <c r="AD172" s="157" t="s">
        <v>787</v>
      </c>
      <c r="AE172" s="972"/>
      <c r="AF172" s="622"/>
      <c r="AG172" s="738"/>
      <c r="AH172" s="87"/>
      <c r="AI172" s="88"/>
      <c r="AJ172" s="88"/>
      <c r="AK172" s="88"/>
      <c r="AL172" s="860">
        <f>_xlfn.IFERROR(AL166/AL175,0)</f>
        <v>0</v>
      </c>
      <c r="AM172" s="88"/>
      <c r="AN172" s="88" cm="1" t="str">
        <f t="array" ref="AN172:AN172">AM172</f>
        <v>0</v>
      </c>
      <c r="AO172" s="860">
        <f>_xlfn.IFERROR(AO166/AO175,0)</f>
        <v>0</v>
      </c>
      <c r="AP172" s="1806"/>
      <c r="AQ172" s="1806" cm="1" t="str">
        <f t="array" ref="AQ172:AQ172">AP172</f>
        <v>0</v>
      </c>
      <c r="AR172" s="860">
        <f>_xlfn.IFERROR(AR166/AR175,0)</f>
        <v>0</v>
      </c>
      <c r="AS172" s="1806"/>
      <c r="AT172" s="1806" cm="1" t="str">
        <f t="array" ref="AT172:AT172">AS172</f>
        <v>0</v>
      </c>
      <c r="AU172" s="860">
        <f>_xlfn.IFERROR(AU166/AU175,0)</f>
        <v>0</v>
      </c>
      <c r="AV172" s="88"/>
      <c r="AW172" s="88"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806"/>
      <c r="BU172" s="1806" cm="1" t="str">
        <f t="array" ref="BU172:BU172">BT172</f>
        <v>0</v>
      </c>
      <c r="BV172" s="860">
        <f>_xlfn.IFERROR(BV166/BV175,0)</f>
        <v>0</v>
      </c>
      <c r="BW172" s="1806"/>
      <c r="BX172" s="1806" cm="1" t="str">
        <f t="array" ref="BX172:BX172">BW172</f>
        <v>0</v>
      </c>
      <c r="BY172" s="860">
        <f>_xlfn.IFERROR(BY166/BY175,0)</f>
        <v>0</v>
      </c>
      <c r="BZ172" s="88"/>
      <c r="CA172" s="88"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42"/>
      <c r="CV172" s="1642"/>
      <c r="CW172" s="1171" t="s">
        <v>786</v>
      </c>
      <c r="CX172" s="1176" t="s">
        <v>781</v>
      </c>
      <c r="CY172" s="1180" cm="1" t="str">
        <f t="array" ref="CY172:CY172">AE172</f>
        <v>0</v>
      </c>
      <c r="CZ172" s="1180" cm="1" t="str">
        <f t="array" ref="CZ172:CZ172">AF172</f>
        <v>0</v>
      </c>
      <c r="DA172" s="1177"/>
      <c r="DB172" s="1177"/>
    </row>
    <row s="1642" customFormat="1" customHeight="1" ht="17.25" hidden="1">
      <c r="A173" s="1498"/>
      <c r="B173" s="925"/>
      <c r="C173" s="1498"/>
      <c r="D173" s="1498"/>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98"/>
      <c r="S173" s="156" cm="1" t="str">
        <f t="array" ref="S173:S173">OFFSET(T173,-1,-1)</f>
        <v>true</v>
      </c>
      <c r="T173" s="1498"/>
      <c r="U173" s="816">
        <f>AND(S173,IF(ISBLANK(T173),TRUE,T173))</f>
        <v>1</v>
      </c>
      <c r="V173" s="1498"/>
      <c r="W173" s="1498"/>
      <c r="X173" s="971" t="str">
        <f>"{                  
         funcDyn: 'msg1',
         blok: 'blok_2',
         wsCross: 'Топливо 4.4',
         linkFormula: 'AE-AE#AF-AF',
         levelDyn: "&amp;Y139&amp;"
}"</f>
        <v>{                  
         funcDyn: 'msg1',
         blok: 'blok_2',
         wsCross: 'Топливо 4.4',
         linkFormula: 'AE-AE#AF-AF',
         levelDyn: 1
}</v>
      </c>
      <c r="Y173" s="1498"/>
      <c r="Z173" s="1498"/>
      <c r="AA173" s="817"/>
      <c r="AB173" s="1464"/>
      <c r="AC173" s="1642"/>
      <c r="AD173" s="974"/>
      <c r="AE173" s="973" t="s">
        <v>237</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42"/>
      <c r="CV173" s="1642"/>
      <c r="CW173" s="1171" t="str">
        <f>IF(AND(ISNUMBER(VALUE(TRIM(SUBSTITUTE(AD173,".","")))),TRIM(SUBSTITUTE(AD173,".",""))&lt;&gt;""),"P"&amp;SUBSTITUTE(AD173,".",""),"")</f>
        <v/>
      </c>
      <c r="CX173" s="1176"/>
      <c r="CY173" s="1176"/>
      <c r="CZ173" s="1176"/>
      <c r="DA173" s="1177"/>
      <c r="DB173" s="1177"/>
    </row>
    <row s="1642" customFormat="1" customHeight="1" ht="16.5">
      <c r="A174" s="1498"/>
      <c r="B174" s="925"/>
      <c r="C174" s="1498"/>
      <c r="D174" s="1498"/>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98"/>
      <c r="S174" s="156" cm="1" t="str">
        <f t="array" ref="S174:S174">OFFSET(T174,-1,-1)</f>
        <v>true</v>
      </c>
      <c r="T174" s="1498"/>
      <c r="U174" s="816">
        <f>AND(S174,IF(ISBLANK(T174),TRUE,T174))</f>
        <v>1</v>
      </c>
      <c r="V174" s="1498"/>
      <c r="W174" s="1498"/>
      <c r="X174" s="1498"/>
      <c r="Y174" s="1498"/>
      <c r="Z174" s="1498"/>
      <c r="AA174" s="817"/>
      <c r="AB174" s="1464"/>
      <c r="AC174" s="1642"/>
      <c r="AD174" s="157">
        <v>21</v>
      </c>
      <c r="AE174" s="1484" t="s">
        <v>788</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92"/>
      <c r="CU174" s="1642"/>
      <c r="CV174" s="1642"/>
      <c r="CW174" s="1171" t="s">
        <v>789</v>
      </c>
      <c r="CX174" s="1176"/>
      <c r="CY174" s="1176"/>
      <c r="CZ174" s="1176"/>
      <c r="DA174" s="1177"/>
      <c r="DB174" s="1177"/>
    </row>
    <row s="1642" customFormat="1" customHeight="1" ht="16.5" hidden="1">
      <c r="A175" s="1498"/>
      <c r="B175" s="925"/>
      <c r="C175" s="1498"/>
      <c r="D175" s="1498"/>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98"/>
      <c r="S175" s="156" cm="1" t="str">
        <f t="array" ref="S175:S175">OFFSET(T175,-1,-1)</f>
        <v>true</v>
      </c>
      <c r="T175" s="156">
        <f>AD175&lt;&gt;"21.0"</f>
        <v>0</v>
      </c>
      <c r="U175" s="816">
        <f>AND(S175,IF(ISBLANK(T175),TRUE,T175))</f>
        <v>0</v>
      </c>
      <c r="V175" s="1498"/>
      <c r="W175" s="1498"/>
      <c r="X175" s="156" t="s">
        <v>235</v>
      </c>
      <c r="Y175" s="1498"/>
      <c r="Z175" s="1498"/>
      <c r="AA175" s="817"/>
      <c r="AB175" s="1464"/>
      <c r="AC175" s="1642"/>
      <c r="AD175" s="157" t="s">
        <v>790</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806">
        <f>_xlfn.IFERROR(AP166/AP172,0)</f>
        <v>0</v>
      </c>
      <c r="AQ175" s="1806">
        <f>_xlfn.IFERROR(AQ166/AQ172,0)</f>
        <v>0</v>
      </c>
      <c r="AR175" s="858">
        <f>AS175+AT175</f>
        <v>0</v>
      </c>
      <c r="AS175" s="1806">
        <f>_xlfn.IFERROR(AS166/AS172,0)</f>
        <v>0</v>
      </c>
      <c r="AT175" s="1806">
        <f>_xlfn.IFERROR(AT166/AT172,0)</f>
        <v>0</v>
      </c>
      <c r="AU175" s="858">
        <f>AV175+AW175</f>
        <v>0</v>
      </c>
      <c r="AV175" s="88">
        <f>_xlfn.IFERROR(AV166/AV172,0)</f>
        <v>0</v>
      </c>
      <c r="AW175" s="88">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806">
        <f>_xlfn.IFERROR(BT166/BT172,0)</f>
        <v>0</v>
      </c>
      <c r="BU175" s="1806">
        <f>_xlfn.IFERROR(BU166/BU172,0)</f>
        <v>0</v>
      </c>
      <c r="BV175" s="858">
        <f>BW175+BX175</f>
        <v>0</v>
      </c>
      <c r="BW175" s="1806">
        <f>_xlfn.IFERROR(BW166/BW172,0)</f>
        <v>0</v>
      </c>
      <c r="BX175" s="1806">
        <f>_xlfn.IFERROR(BX166/BX172,0)</f>
        <v>0</v>
      </c>
      <c r="BY175" s="858">
        <f>BZ175+CA175</f>
        <v>0</v>
      </c>
      <c r="BZ175" s="88">
        <f>_xlfn.IFERROR(BZ166/BZ172,0)</f>
        <v>0</v>
      </c>
      <c r="CA175" s="88">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42"/>
      <c r="CV175" s="1642"/>
      <c r="CW175" s="1171" t="s">
        <v>789</v>
      </c>
      <c r="CX175" s="1176" t="s">
        <v>781</v>
      </c>
      <c r="CY175" s="1180" cm="1" t="str">
        <f t="array" ref="CY175:CY175">AE175</f>
        <v>0</v>
      </c>
      <c r="CZ175" s="1180" cm="1" t="str">
        <f t="array" ref="CZ175:CZ175">AF175</f>
        <v>0</v>
      </c>
      <c r="DA175" s="1177"/>
      <c r="DB175" s="1177"/>
    </row>
    <row s="1642" customFormat="1" customHeight="1" ht="17.25" hidden="1">
      <c r="A176" s="1498"/>
      <c r="B176" s="925"/>
      <c r="C176" s="1498"/>
      <c r="D176" s="1498"/>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98"/>
      <c r="S176" s="156" cm="1" t="str">
        <f t="array" ref="S176:S176">OFFSET(T176,-1,-1)</f>
        <v>true</v>
      </c>
      <c r="T176" s="1498"/>
      <c r="U176" s="816">
        <f>AND(S176,IF(ISBLANK(T176),TRUE,T176))</f>
        <v>1</v>
      </c>
      <c r="V176" s="1498"/>
      <c r="W176" s="1498"/>
      <c r="X176" s="971" t="str">
        <f>"{                  
         funcDyn: 'msg1',
         blok: 'blok_2',
         wsCross: 'Топливо 4.4',
         linkFormula: 'AE-AE#AF-AF',
         levelDyn: "&amp;Y139&amp;"
}"</f>
        <v>{                  
         funcDyn: 'msg1',
         blok: 'blok_2',
         wsCross: 'Топливо 4.4',
         linkFormula: 'AE-AE#AF-AF',
         levelDyn: 1
}</v>
      </c>
      <c r="Y176" s="1498"/>
      <c r="Z176" s="1498"/>
      <c r="AA176" s="817"/>
      <c r="AB176" s="1465"/>
      <c r="AC176" s="1642"/>
      <c r="AD176" s="974"/>
      <c r="AE176" s="973" t="s">
        <v>237</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42"/>
      <c r="CV176" s="1642"/>
      <c r="CW176" s="1171" t="str">
        <f>IF(AND(ISNUMBER(VALUE(TRIM(SUBSTITUTE(AD176,".","")))),TRIM(SUBSTITUTE(AD176,".",""))&lt;&gt;""),"P"&amp;SUBSTITUTE(AD176,".",""),"")</f>
        <v/>
      </c>
      <c r="CX176" s="1176"/>
      <c r="CY176" s="1176"/>
      <c r="CZ176" s="1176"/>
      <c r="DA176" s="1177"/>
      <c r="DB176" s="1177"/>
    </row>
    <row s="1642" customFormat="1" customHeight="1" ht="16.5">
      <c r="A177" s="1498"/>
      <c r="B177" s="925"/>
      <c r="C177" s="1498"/>
      <c r="D177" s="1498"/>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98"/>
      <c r="S177" s="156" cm="1" t="str">
        <f t="array" ref="S177:S177">OFFSET(T177,-1,-1)</f>
        <v>true</v>
      </c>
      <c r="T177" s="1498"/>
      <c r="U177" s="816">
        <f>AND(S177,IF(ISBLANK(T177),TRUE,T177))</f>
        <v>1</v>
      </c>
      <c r="V177" s="1498"/>
      <c r="W177" s="1498"/>
      <c r="X177" s="1498"/>
      <c r="Y177" s="1498"/>
      <c r="Z177" s="1498"/>
      <c r="AA177" s="817"/>
      <c r="AB177" s="1460" t="s">
        <v>791</v>
      </c>
      <c r="AC177" s="1642"/>
      <c r="AD177" s="157">
        <v>22</v>
      </c>
      <c r="AE177" s="1474" t="s">
        <v>792</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92"/>
      <c r="CU177" s="1642"/>
      <c r="CV177" s="1642"/>
      <c r="CW177" s="1171" t="s">
        <v>793</v>
      </c>
      <c r="CX177" s="1176"/>
      <c r="CY177" s="1176"/>
      <c r="CZ177" s="1176"/>
      <c r="DA177" s="1177"/>
      <c r="DB177" s="1177"/>
    </row>
    <row s="1642" customFormat="1" customHeight="1" ht="16.5" hidden="1">
      <c r="A178" s="1498"/>
      <c r="B178" s="925"/>
      <c r="C178" s="1498"/>
      <c r="D178" s="1498"/>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98"/>
      <c r="S178" s="156" cm="1" t="str">
        <f t="array" ref="S178:S178">OFFSET(T178,-1,-1)</f>
        <v>true</v>
      </c>
      <c r="T178" s="156">
        <f>AD178&lt;&gt;"22.0"</f>
        <v>0</v>
      </c>
      <c r="U178" s="816">
        <f>AND(S178,IF(ISBLANK(T178),TRUE,T178))</f>
        <v>0</v>
      </c>
      <c r="V178" s="1498"/>
      <c r="W178" s="1498"/>
      <c r="X178" s="156" t="s">
        <v>235</v>
      </c>
      <c r="Y178" s="1498"/>
      <c r="Z178" s="1498"/>
      <c r="AA178" s="817"/>
      <c r="AB178" s="1461"/>
      <c r="AC178" s="1642"/>
      <c r="AD178" s="157" t="s">
        <v>794</v>
      </c>
      <c r="AE178" s="972"/>
      <c r="AF178" s="622"/>
      <c r="AG178" s="1012" t="s">
        <v>485</v>
      </c>
      <c r="AH178" s="93"/>
      <c r="AI178" s="94"/>
      <c r="AJ178" s="94"/>
      <c r="AK178" s="94"/>
      <c r="AL178" s="1038"/>
      <c r="AM178" s="94"/>
      <c r="AN178" s="94"/>
      <c r="AO178" s="1038"/>
      <c r="AP178" s="1818"/>
      <c r="AQ178" s="1818"/>
      <c r="AR178" s="1038"/>
      <c r="AS178" s="1818"/>
      <c r="AT178" s="1818"/>
      <c r="AU178" s="1038"/>
      <c r="AV178" s="94"/>
      <c r="AW178" s="94"/>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818"/>
      <c r="BU178" s="1818"/>
      <c r="BV178" s="1038"/>
      <c r="BW178" s="1818"/>
      <c r="BX178" s="1818"/>
      <c r="BY178" s="1038"/>
      <c r="BZ178" s="94"/>
      <c r="CA178" s="94"/>
      <c r="CB178" s="1038"/>
      <c r="CC178" s="94"/>
      <c r="CD178" s="94"/>
      <c r="CE178" s="1038"/>
      <c r="CF178" s="94"/>
      <c r="CG178" s="94"/>
      <c r="CH178" s="1038"/>
      <c r="CI178" s="94"/>
      <c r="CJ178" s="94"/>
      <c r="CK178" s="1038"/>
      <c r="CL178" s="94"/>
      <c r="CM178" s="94"/>
      <c r="CN178" s="1038"/>
      <c r="CO178" s="94"/>
      <c r="CP178" s="94"/>
      <c r="CQ178" s="1038"/>
      <c r="CR178" s="94"/>
      <c r="CS178" s="94"/>
      <c r="CT178" s="74"/>
      <c r="CU178" s="1642"/>
      <c r="CV178" s="1642"/>
      <c r="CW178" s="1171" t="s">
        <v>793</v>
      </c>
      <c r="CX178" s="1176" t="s">
        <v>781</v>
      </c>
      <c r="CY178" s="1180" cm="1" t="str">
        <f t="array" ref="CY178:CY178">AE178</f>
        <v>0</v>
      </c>
      <c r="CZ178" s="1180" cm="1" t="str">
        <f t="array" ref="CZ178:CZ178">AF178</f>
        <v>0</v>
      </c>
      <c r="DA178" s="1177"/>
      <c r="DB178" s="1177"/>
    </row>
    <row s="1642" customFormat="1" customHeight="1" ht="17.25" hidden="1">
      <c r="A179" s="1498"/>
      <c r="B179" s="925"/>
      <c r="C179" s="1498"/>
      <c r="D179" s="1498"/>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98"/>
      <c r="S179" s="156" cm="1" t="str">
        <f t="array" ref="S179:S179">OFFSET(T179,-1,-1)</f>
        <v>true</v>
      </c>
      <c r="T179" s="1498"/>
      <c r="U179" s="816">
        <f>AND(S179,IF(ISBLANK(T179),TRUE,T179))</f>
        <v>1</v>
      </c>
      <c r="V179" s="1498"/>
      <c r="W179" s="1498"/>
      <c r="X179" s="971" t="str">
        <f>"{                  
         funcDyn: 'msg1',
         blok: 'blok_2',
         wsCross: 'Топливо 4.4',
         linkFormula: 'AE-AE#AF-AF',
         levelDyn: "&amp;Y139&amp;"
}"</f>
        <v>{                  
         funcDyn: 'msg1',
         blok: 'blok_2',
         wsCross: 'Топливо 4.4',
         linkFormula: 'AE-AE#AF-AF',
         levelDyn: 1
}</v>
      </c>
      <c r="Y179" s="1498"/>
      <c r="Z179" s="1498"/>
      <c r="AA179" s="817"/>
      <c r="AB179" s="1461"/>
      <c r="AC179" s="1642"/>
      <c r="AD179" s="974"/>
      <c r="AE179" s="973" t="s">
        <v>237</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42"/>
      <c r="CV179" s="1642"/>
      <c r="CW179" s="1171" t="str">
        <f>IF(AND(ISNUMBER(VALUE(TRIM(SUBSTITUTE(AD179,".","")))),TRIM(SUBSTITUTE(AD179,".",""))&lt;&gt;""),"P"&amp;SUBSTITUTE(AD179,".",""),"")</f>
        <v/>
      </c>
      <c r="CX179" s="1176"/>
      <c r="CY179" s="1176"/>
      <c r="CZ179" s="1176"/>
      <c r="DA179" s="1177"/>
      <c r="DB179" s="1177"/>
    </row>
    <row s="1642" customFormat="1" customHeight="1" ht="16.5">
      <c r="A180" s="1498"/>
      <c r="B180" s="925"/>
      <c r="C180" s="1498"/>
      <c r="D180" s="1498"/>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98"/>
      <c r="S180" s="156" cm="1" t="str">
        <f t="array" ref="S180:S180">OFFSET(T180,-1,-1)</f>
        <v>true</v>
      </c>
      <c r="T180" s="1498"/>
      <c r="U180" s="816">
        <f>AND(S180,IF(ISBLANK(T180),TRUE,T180))</f>
        <v>1</v>
      </c>
      <c r="V180" s="1498"/>
      <c r="W180" s="1498"/>
      <c r="X180" s="1498"/>
      <c r="Y180" s="1498"/>
      <c r="Z180" s="1498"/>
      <c r="AA180" s="817"/>
      <c r="AB180" s="1461"/>
      <c r="AC180" s="1642"/>
      <c r="AD180" s="157">
        <v>23</v>
      </c>
      <c r="AE180" s="1474" t="s">
        <v>795</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92"/>
      <c r="CU180" s="1642"/>
      <c r="CV180" s="1642"/>
      <c r="CW180" s="1171" t="s">
        <v>796</v>
      </c>
      <c r="CX180" s="1176"/>
      <c r="CY180" s="1176"/>
      <c r="CZ180" s="1176"/>
      <c r="DA180" s="1177"/>
      <c r="DB180" s="1177"/>
    </row>
    <row s="1642" customFormat="1" customHeight="1" ht="16.5" hidden="1">
      <c r="A181" s="1498"/>
      <c r="B181" s="925"/>
      <c r="C181" s="1498"/>
      <c r="D181" s="1498"/>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98"/>
      <c r="S181" s="156" cm="1" t="str">
        <f t="array" ref="S181:S181">OFFSET(T181,-1,-1)</f>
        <v>true</v>
      </c>
      <c r="T181" s="156">
        <f>AD181&lt;&gt;"23.0"</f>
        <v>0</v>
      </c>
      <c r="U181" s="816">
        <f>AND(S181,IF(ISBLANK(T181),TRUE,T181))</f>
        <v>0</v>
      </c>
      <c r="V181" s="1498"/>
      <c r="W181" s="1498"/>
      <c r="X181" s="156" t="s">
        <v>235</v>
      </c>
      <c r="Y181" s="1498"/>
      <c r="Z181" s="1498"/>
      <c r="AA181" s="817"/>
      <c r="AB181" s="1461"/>
      <c r="AC181" s="1642"/>
      <c r="AD181" s="157" t="s">
        <v>797</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806"/>
      <c r="AQ181" s="1806"/>
      <c r="AR181" s="860">
        <f>_xlfn.IFERROR(AR185/AR175,0)*1000</f>
        <v>0</v>
      </c>
      <c r="AS181" s="1806"/>
      <c r="AT181" s="1806"/>
      <c r="AU181" s="860">
        <f>_xlfn.IFERROR(AU185/AU175,0)*1000</f>
        <v>0</v>
      </c>
      <c r="AV181" s="88"/>
      <c r="AW181" s="88"/>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806"/>
      <c r="BU181" s="1806"/>
      <c r="BV181" s="860">
        <f>_xlfn.IFERROR(BV185/BV175,0)*1000</f>
        <v>0</v>
      </c>
      <c r="BW181" s="1806"/>
      <c r="BX181" s="1806"/>
      <c r="BY181" s="860">
        <f>_xlfn.IFERROR(BY185/BY175,0)*1000</f>
        <v>0</v>
      </c>
      <c r="BZ181" s="88"/>
      <c r="CA181" s="88"/>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42"/>
      <c r="CV181" s="1642"/>
      <c r="CW181" s="1171" t="s">
        <v>796</v>
      </c>
      <c r="CX181" s="1176" t="s">
        <v>781</v>
      </c>
      <c r="CY181" s="1180" cm="1" t="str">
        <f t="array" ref="CY181:CY181">AE181</f>
        <v>0</v>
      </c>
      <c r="CZ181" s="1180" cm="1" t="str">
        <f t="array" ref="CZ181:CZ181">AF181</f>
        <v>0</v>
      </c>
      <c r="DA181" s="1177"/>
      <c r="DB181" s="1177"/>
    </row>
    <row s="1642" customFormat="1" customHeight="1" ht="17.25" hidden="1">
      <c r="A182" s="1498"/>
      <c r="B182" s="925"/>
      <c r="C182" s="1498"/>
      <c r="D182" s="1498"/>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98"/>
      <c r="S182" s="156" cm="1" t="str">
        <f t="array" ref="S182:S182">OFFSET(T182,-1,-1)</f>
        <v>true</v>
      </c>
      <c r="T182" s="1498"/>
      <c r="U182" s="816">
        <f>AND(S182,IF(ISBLANK(T182),TRUE,T182))</f>
        <v>1</v>
      </c>
      <c r="V182" s="1498"/>
      <c r="W182" s="1498"/>
      <c r="X182" s="971" t="str">
        <f>"{                  
         funcDyn: 'msg1',
         blok: 'blok_2',
         wsCross: 'Топливо 4.4',
         linkFormula: 'AE-AE#AF-AF',
         levelDyn: "&amp;Y139&amp;"
}"</f>
        <v>{                  
         funcDyn: 'msg1',
         blok: 'blok_2',
         wsCross: 'Топливо 4.4',
         linkFormula: 'AE-AE#AF-AF',
         levelDyn: 1
}</v>
      </c>
      <c r="Y182" s="1498"/>
      <c r="Z182" s="1498"/>
      <c r="AA182" s="817"/>
      <c r="AB182" s="1461"/>
      <c r="AC182" s="1642"/>
      <c r="AD182" s="974"/>
      <c r="AE182" s="973" t="s">
        <v>237</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42"/>
      <c r="CV182" s="1642"/>
      <c r="CW182" s="1171" t="str">
        <f>IF(AND(ISNUMBER(VALUE(TRIM(SUBSTITUTE(AD182,".","")))),TRIM(SUBSTITUTE(AD182,".",""))&lt;&gt;""),"P"&amp;SUBSTITUTE(AD182,".",""),"")</f>
        <v/>
      </c>
      <c r="CX182" s="1176"/>
      <c r="CY182" s="1176"/>
      <c r="CZ182" s="1176"/>
      <c r="DA182" s="1177"/>
      <c r="DB182" s="1177"/>
    </row>
    <row s="1642" customFormat="1" customHeight="1" ht="16.5">
      <c r="A183" s="1498"/>
      <c r="B183" s="925"/>
      <c r="C183" s="1498"/>
      <c r="D183" s="1498"/>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98"/>
      <c r="S183" s="156" cm="1" t="str">
        <f t="array" ref="S183:S183">OFFSET(T183,-1,-1)</f>
        <v>true</v>
      </c>
      <c r="T183" s="1498"/>
      <c r="U183" s="816">
        <f>AND(S183,IF(ISBLANK(T183),TRUE,T183))</f>
        <v>1</v>
      </c>
      <c r="V183" s="1498"/>
      <c r="W183" s="1498"/>
      <c r="X183" s="1498"/>
      <c r="Y183" s="1498"/>
      <c r="Z183" s="1498"/>
      <c r="AA183" s="817"/>
      <c r="AB183" s="1461"/>
      <c r="AC183" s="1642"/>
      <c r="AD183" s="157">
        <v>24</v>
      </c>
      <c r="AE183" s="1474" t="s">
        <v>798</v>
      </c>
      <c r="AF183" s="165"/>
      <c r="AG183" s="1012" t="s">
        <v>799</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92"/>
      <c r="CU183" s="1642"/>
      <c r="CV183" s="1642"/>
      <c r="CW183" s="1171" t="s">
        <v>800</v>
      </c>
      <c r="CX183" s="1176"/>
      <c r="CY183" s="1176"/>
      <c r="CZ183" s="1176"/>
      <c r="DA183" s="1177"/>
      <c r="DB183" s="1177"/>
    </row>
    <row s="1642" customFormat="1" customHeight="1" ht="16.5" hidden="1">
      <c r="A184" s="1498"/>
      <c r="B184" s="925"/>
      <c r="C184" s="1498"/>
      <c r="D184" s="1498"/>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719</v>
      </c>
      <c r="S184" s="156" cm="1" t="str">
        <f t="array" ref="S184:S184">OFFSET(T184,-1,-1)</f>
        <v>true</v>
      </c>
      <c r="T184" s="920" t="b">
        <v>0</v>
      </c>
      <c r="U184" s="816">
        <f>AND(S184,IF(ISBLANK(T184),TRUE,T184))</f>
        <v>0</v>
      </c>
      <c r="V184" s="1498"/>
      <c r="W184" s="1498"/>
      <c r="X184" s="1498"/>
      <c r="Y184" s="1498"/>
      <c r="Z184" s="1498"/>
      <c r="AA184" s="817"/>
      <c r="AB184" s="1461"/>
      <c r="AC184" s="1642"/>
      <c r="AD184" s="157" t="str">
        <f>AD183&amp;".0"</f>
        <v>24.0</v>
      </c>
      <c r="AE184" s="1486" t="s">
        <v>730</v>
      </c>
      <c r="AF184" s="162"/>
      <c r="AG184" s="1012" t="s">
        <v>799</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806">
        <f>AP$163*AP183</f>
        <v>0</v>
      </c>
      <c r="AQ184" s="1806">
        <f>AQ$163*AQ183</f>
        <v>0</v>
      </c>
      <c r="AR184" s="860">
        <f>AS184+AT184</f>
        <v>0</v>
      </c>
      <c r="AS184" s="1806">
        <f>AS$163*AS183</f>
        <v>0</v>
      </c>
      <c r="AT184" s="1806">
        <f>AT$163*AT183</f>
        <v>0</v>
      </c>
      <c r="AU184" s="860">
        <f>AV184+AW184</f>
        <v>0</v>
      </c>
      <c r="AV184" s="88">
        <f>AV$163*AV183</f>
        <v>0</v>
      </c>
      <c r="AW184" s="88">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806">
        <f>BT$163*BT183</f>
        <v>0</v>
      </c>
      <c r="BU184" s="1806">
        <f>BU$163*BU183</f>
        <v>0</v>
      </c>
      <c r="BV184" s="860">
        <f>BW184+BX184</f>
        <v>0</v>
      </c>
      <c r="BW184" s="1806">
        <f>BW$163*BW183</f>
        <v>0</v>
      </c>
      <c r="BX184" s="1806">
        <f>BX$163*BX183</f>
        <v>0</v>
      </c>
      <c r="BY184" s="860">
        <f>BZ184+CA184</f>
        <v>0</v>
      </c>
      <c r="BZ184" s="88">
        <f>BZ$163*BZ183</f>
        <v>0</v>
      </c>
      <c r="CA184" s="88">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42"/>
      <c r="CV184" s="1642"/>
      <c r="CW184" s="1171" t="s">
        <v>801</v>
      </c>
      <c r="CX184" s="1176"/>
      <c r="CY184" s="1176"/>
      <c r="CZ184" s="1176"/>
      <c r="DA184" s="1177"/>
      <c r="DB184" s="1177"/>
    </row>
    <row s="1642" customFormat="1" customHeight="1" ht="16.5" hidden="1">
      <c r="A185" s="1498"/>
      <c r="B185" s="925"/>
      <c r="C185" s="1498"/>
      <c r="D185" s="1498"/>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98"/>
      <c r="S185" s="156" cm="1" t="str">
        <f t="array" ref="S185:S185">OFFSET(T185,-1,-1)</f>
        <v>true</v>
      </c>
      <c r="T185" s="156">
        <f>AD185&lt;&gt;"24.0"</f>
        <v>0</v>
      </c>
      <c r="U185" s="816">
        <f>AND(S185,IF(ISBLANK(T185),TRUE,T185))</f>
        <v>0</v>
      </c>
      <c r="V185" s="1498"/>
      <c r="W185" s="1498"/>
      <c r="X185" s="156" t="s">
        <v>235</v>
      </c>
      <c r="Y185" s="1498"/>
      <c r="Z185" s="1498"/>
      <c r="AA185" s="817"/>
      <c r="AB185" s="1461"/>
      <c r="AC185" s="1642"/>
      <c r="AD185" s="157" t="s">
        <v>802</v>
      </c>
      <c r="AE185" s="972"/>
      <c r="AF185" s="622"/>
      <c r="AG185" s="1012" t="s">
        <v>799</v>
      </c>
      <c r="AH185" s="87"/>
      <c r="AI185" s="88"/>
      <c r="AJ185" s="88"/>
      <c r="AK185" s="88"/>
      <c r="AL185" s="860">
        <f>AM185+AN185</f>
        <v>0</v>
      </c>
      <c r="AM185" s="88">
        <f>AM181*AM175/1000</f>
        <v>0</v>
      </c>
      <c r="AN185" s="88">
        <f>AN181*AN175/1000</f>
        <v>0</v>
      </c>
      <c r="AO185" s="860">
        <f>AP185+AQ185</f>
        <v>0</v>
      </c>
      <c r="AP185" s="1806">
        <f>AP181*AP175/1000</f>
        <v>0</v>
      </c>
      <c r="AQ185" s="1806">
        <f>AQ181*AQ175/1000</f>
        <v>0</v>
      </c>
      <c r="AR185" s="860">
        <f>AS185+AT185</f>
        <v>0</v>
      </c>
      <c r="AS185" s="1806">
        <f>AS181*AS175/1000</f>
        <v>0</v>
      </c>
      <c r="AT185" s="1806">
        <f>AT181*AT175/1000</f>
        <v>0</v>
      </c>
      <c r="AU185" s="860">
        <f>AV185+AW185</f>
        <v>0</v>
      </c>
      <c r="AV185" s="88">
        <f>AV181*AV175/1000</f>
        <v>0</v>
      </c>
      <c r="AW185" s="88">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806">
        <f>BT181*BT175/1000</f>
        <v>0</v>
      </c>
      <c r="BU185" s="1806">
        <f>BU181*BU175/1000</f>
        <v>0</v>
      </c>
      <c r="BV185" s="860">
        <f>BW185+BX185</f>
        <v>0</v>
      </c>
      <c r="BW185" s="1806">
        <f>BW181*BW175/1000</f>
        <v>0</v>
      </c>
      <c r="BX185" s="1806">
        <f>BX181*BX175/1000</f>
        <v>0</v>
      </c>
      <c r="BY185" s="860">
        <f>BZ185+CA185</f>
        <v>0</v>
      </c>
      <c r="BZ185" s="88">
        <f>BZ181*BZ175/1000</f>
        <v>0</v>
      </c>
      <c r="CA185" s="88">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42"/>
      <c r="CV185" s="1642"/>
      <c r="CW185" s="1171" t="s">
        <v>801</v>
      </c>
      <c r="CX185" s="1176" t="s">
        <v>781</v>
      </c>
      <c r="CY185" s="1180" cm="1" t="str">
        <f t="array" ref="CY185:CY185">AE185</f>
        <v>0</v>
      </c>
      <c r="CZ185" s="1180" cm="1" t="str">
        <f t="array" ref="CZ185:CZ185">AF185</f>
        <v>0</v>
      </c>
      <c r="DA185" s="1177"/>
      <c r="DB185" s="1177"/>
    </row>
    <row s="1642" customFormat="1" customHeight="1" ht="17.25" hidden="1">
      <c r="A186" s="1498"/>
      <c r="B186" s="925"/>
      <c r="C186" s="1498"/>
      <c r="D186" s="1498"/>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98"/>
      <c r="S186" s="156" cm="1" t="str">
        <f t="array" ref="S186:S186">OFFSET(T186,-1,-1)</f>
        <v>true</v>
      </c>
      <c r="T186" s="1498"/>
      <c r="U186" s="816">
        <f>AND(S186,IF(ISBLANK(T186),TRUE,T186))</f>
        <v>1</v>
      </c>
      <c r="V186" s="1498"/>
      <c r="W186" s="1498"/>
      <c r="X186" s="971" t="str">
        <f>"{                  
         funcDyn: 'msg1',
         blok: 'blok_2',
         wsCross: 'Топливо 4.4',
         linkFormula: 'AE-AE#AF-AF',
         levelDyn: "&amp;Y139&amp;"
}"</f>
        <v>{                  
         funcDyn: 'msg1',
         blok: 'blok_2',
         wsCross: 'Топливо 4.4',
         linkFormula: 'AE-AE#AF-AF',
         levelDyn: 1
}</v>
      </c>
      <c r="Y186" s="1498"/>
      <c r="Z186" s="1498"/>
      <c r="AA186" s="817"/>
      <c r="AB186" s="1461"/>
      <c r="AC186" s="1642"/>
      <c r="AD186" s="974"/>
      <c r="AE186" s="973" t="s">
        <v>237</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42"/>
      <c r="CV186" s="1642"/>
      <c r="CW186" s="1171" t="str">
        <f>IF(AND(ISNUMBER(VALUE(TRIM(SUBSTITUTE(AD186,".","")))),TRIM(SUBSTITUTE(AD186,".",""))&lt;&gt;""),"P"&amp;SUBSTITUTE(AD186,".",""),"")</f>
        <v/>
      </c>
      <c r="CX186" s="1176"/>
      <c r="CY186" s="1176"/>
      <c r="CZ186" s="1176"/>
      <c r="DA186" s="1177"/>
      <c r="DB186" s="1177"/>
    </row>
    <row s="1642" customFormat="1" customHeight="1" ht="21.75" hidden="1">
      <c r="A187" s="1498"/>
      <c r="B187" s="925"/>
      <c r="C187" s="1498"/>
      <c r="D187" s="1498"/>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719</v>
      </c>
      <c r="S187" s="156" cm="1" t="str">
        <f t="array" ref="S187:S187">OFFSET(T187,-1,-1)</f>
        <v>true</v>
      </c>
      <c r="T187" s="156" cm="1" t="str">
        <f t="array" ref="T187:T187">L187</f>
        <v>false</v>
      </c>
      <c r="U187" s="816">
        <f>AND(S187,IF(ISBLANK(T187),TRUE,T187))</f>
        <v>0</v>
      </c>
      <c r="V187" s="1498"/>
      <c r="W187" s="1498"/>
      <c r="X187" s="1498"/>
      <c r="Y187" s="1498"/>
      <c r="Z187" s="1498"/>
      <c r="AA187" s="817"/>
      <c r="AB187" s="1461"/>
      <c r="AC187" s="1642"/>
      <c r="AD187" s="157">
        <v>25</v>
      </c>
      <c r="AE187" s="1484" t="s">
        <v>803</v>
      </c>
      <c r="AF187" s="159"/>
      <c r="AG187" s="1012" t="s">
        <v>799</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42"/>
      <c r="CV187" s="1642"/>
      <c r="CW187" s="1171" t="s">
        <v>804</v>
      </c>
      <c r="CX187" s="1176"/>
      <c r="CY187" s="1176"/>
      <c r="CZ187" s="1176"/>
      <c r="DA187" s="1177"/>
      <c r="DB187" s="1177"/>
    </row>
    <row s="1642" customFormat="1" customHeight="1" ht="16.5" hidden="1">
      <c r="A188" s="1498"/>
      <c r="B188" s="925"/>
      <c r="C188" s="1498"/>
      <c r="D188" s="1498"/>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719</v>
      </c>
      <c r="S188" s="156" cm="1" t="str">
        <f t="array" ref="S188:S188">OFFSET(T188,-1,-1)</f>
        <v>true</v>
      </c>
      <c r="T188" s="156">
        <f>AND(L188,AD188&lt;&gt;"25.0")</f>
        <v>0</v>
      </c>
      <c r="U188" s="816">
        <f>AND(S188,IF(ISBLANK(T188),TRUE,T188))</f>
        <v>0</v>
      </c>
      <c r="V188" s="1498"/>
      <c r="W188" s="1498"/>
      <c r="X188" s="156" t="s">
        <v>235</v>
      </c>
      <c r="Y188" s="1498"/>
      <c r="Z188" s="1498"/>
      <c r="AA188" s="817"/>
      <c r="AB188" s="1461"/>
      <c r="AC188" s="1642"/>
      <c r="AD188" s="157" t="s">
        <v>805</v>
      </c>
      <c r="AE188" s="972"/>
      <c r="AF188" s="622"/>
      <c r="AG188" s="1012" t="s">
        <v>799</v>
      </c>
      <c r="AH188" s="87">
        <f>AH$163*AH185</f>
        <v>0</v>
      </c>
      <c r="AI188" s="88">
        <f>AI$163*AI185</f>
        <v>0</v>
      </c>
      <c r="AJ188" s="88">
        <f>AJ$163*AJ185</f>
        <v>0</v>
      </c>
      <c r="AK188" s="88">
        <f>AK$163*AK185</f>
        <v>0</v>
      </c>
      <c r="AL188" s="860">
        <f>AM188+AN188</f>
        <v>0</v>
      </c>
      <c r="AM188" s="88">
        <f>AM$163*AM185</f>
        <v>0</v>
      </c>
      <c r="AN188" s="88">
        <f>AN$163*AN185</f>
        <v>0</v>
      </c>
      <c r="AO188" s="860">
        <f>AP188+AQ188</f>
        <v>0</v>
      </c>
      <c r="AP188" s="1806">
        <f>AP$163*AP185</f>
        <v>0</v>
      </c>
      <c r="AQ188" s="1806">
        <f>AQ$163*AQ185</f>
        <v>0</v>
      </c>
      <c r="AR188" s="860">
        <f>AS188+AT188</f>
        <v>0</v>
      </c>
      <c r="AS188" s="1806">
        <f>AS$163*AS185</f>
        <v>0</v>
      </c>
      <c r="AT188" s="1806">
        <f>AT$163*AT185</f>
        <v>0</v>
      </c>
      <c r="AU188" s="860">
        <f>AV188+AW188</f>
        <v>0</v>
      </c>
      <c r="AV188" s="88">
        <f>AV$163*AV185</f>
        <v>0</v>
      </c>
      <c r="AW188" s="88">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806">
        <f>BT$163*BT185</f>
        <v>0</v>
      </c>
      <c r="BU188" s="1806">
        <f>BU$163*BU185</f>
        <v>0</v>
      </c>
      <c r="BV188" s="860">
        <f>BW188+BX188</f>
        <v>0</v>
      </c>
      <c r="BW188" s="1806">
        <f>BW$163*BW185</f>
        <v>0</v>
      </c>
      <c r="BX188" s="1806">
        <f>BX$163*BX185</f>
        <v>0</v>
      </c>
      <c r="BY188" s="860">
        <f>BZ188+CA188</f>
        <v>0</v>
      </c>
      <c r="BZ188" s="88">
        <f>BZ$163*BZ185</f>
        <v>0</v>
      </c>
      <c r="CA188" s="88">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42"/>
      <c r="CV188" s="1642"/>
      <c r="CW188" s="1171" t="s">
        <v>804</v>
      </c>
      <c r="CX188" s="1176" t="s">
        <v>781</v>
      </c>
      <c r="CY188" s="1180" cm="1" t="str">
        <f t="array" ref="CY188:CY188">AE188</f>
        <v>0</v>
      </c>
      <c r="CZ188" s="1180" cm="1" t="str">
        <f t="array" ref="CZ188:CZ188">AF188</f>
        <v>0</v>
      </c>
      <c r="DA188" s="1177"/>
      <c r="DB188" s="1177"/>
    </row>
    <row s="1642" customFormat="1" customHeight="1" ht="15" hidden="1">
      <c r="A189" s="1498"/>
      <c r="B189" s="925"/>
      <c r="C189" s="1498"/>
      <c r="D189" s="1498"/>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98"/>
      <c r="S189" s="156" cm="1" t="str">
        <f t="array" ref="S189:S189">OFFSET(T189,-1,-1)</f>
        <v>true</v>
      </c>
      <c r="T189" s="1498"/>
      <c r="U189" s="816">
        <f>AND(S189,IF(ISBLANK(T189),TRUE,T189))</f>
        <v>1</v>
      </c>
      <c r="V189" s="1498"/>
      <c r="W189" s="1498"/>
      <c r="X189" s="971" t="str">
        <f>"{                  
         funcDyn: 'msg1',
         blok: 'blok_2',
         wsCross: 'Топливо 4.4',
         linkFormula: 'AE-AE#AF-AF',
         levelDyn: "&amp;Y139&amp;"
}"</f>
        <v>{                  
         funcDyn: 'msg1',
         blok: 'blok_2',
         wsCross: 'Топливо 4.4',
         linkFormula: 'AE-AE#AF-AF',
         levelDyn: 1
}</v>
      </c>
      <c r="Y189" s="1498"/>
      <c r="Z189" s="1498"/>
      <c r="AA189" s="817"/>
      <c r="AB189" s="1462"/>
      <c r="AC189" s="1642"/>
      <c r="AD189" s="974"/>
      <c r="AE189" s="973" t="s">
        <v>237</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42"/>
      <c r="CV189" s="1642"/>
      <c r="CW189" s="1171" t="str">
        <f>IF(AND(ISNUMBER(VALUE(TRIM(SUBSTITUTE(AD189,".","")))),TRIM(SUBSTITUTE(AD189,".",""))&lt;&gt;""),"P"&amp;SUBSTITUTE(AD189,".",""),"")</f>
        <v/>
      </c>
      <c r="CX189" s="1176"/>
      <c r="CY189" s="1176"/>
      <c r="CZ189" s="1176"/>
      <c r="DA189" s="1177"/>
      <c r="DB189" s="1177"/>
    </row>
    <row s="1642" customFormat="1" customHeight="1" ht="16.5">
      <c r="A190" s="1498"/>
      <c r="B190" s="925"/>
      <c r="C190" s="1498"/>
      <c r="D190" s="1498"/>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98"/>
      <c r="S190" s="156" cm="1" t="str">
        <f t="array" ref="S190:S190">OFFSET(T190,-1,-1)</f>
        <v>true</v>
      </c>
      <c r="T190" s="1498"/>
      <c r="U190" s="816">
        <f>AND(S190,IF(ISBLANK(T190),TRUE,T190))</f>
        <v>1</v>
      </c>
      <c r="V190" s="1498"/>
      <c r="W190" s="1498"/>
      <c r="X190" s="1498"/>
      <c r="Y190" s="1498"/>
      <c r="Z190" s="1498"/>
      <c r="AA190" s="817"/>
      <c r="AB190" s="1466" t="s">
        <v>806</v>
      </c>
      <c r="AC190" s="1642"/>
      <c r="AD190" s="170">
        <v>26</v>
      </c>
      <c r="AE190" s="1472" t="s">
        <v>807</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92"/>
      <c r="CU190" s="1642"/>
      <c r="CV190" s="1642"/>
      <c r="CW190" s="1171" t="s">
        <v>808</v>
      </c>
      <c r="CX190" s="1176"/>
      <c r="CY190" s="1176"/>
      <c r="CZ190" s="1176"/>
      <c r="DA190" s="1177"/>
      <c r="DB190" s="1177"/>
    </row>
    <row s="1642" customFormat="1" customHeight="1" ht="16.5" hidden="1">
      <c r="A191" s="1498"/>
      <c r="B191" s="925"/>
      <c r="C191" s="1498"/>
      <c r="D191" s="1498"/>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98"/>
      <c r="S191" s="156" cm="1" t="str">
        <f t="array" ref="S191:S191">OFFSET(T191,-1,-1)</f>
        <v>true</v>
      </c>
      <c r="T191" s="156">
        <f>AD191&lt;&gt;"26.0"</f>
        <v>0</v>
      </c>
      <c r="U191" s="816">
        <f>AND(S191,IF(ISBLANK(T191),TRUE,T191))</f>
        <v>0</v>
      </c>
      <c r="V191" s="1498"/>
      <c r="W191" s="1498"/>
      <c r="X191" s="156" t="s">
        <v>235</v>
      </c>
      <c r="Y191" s="1498"/>
      <c r="Z191" s="1498"/>
      <c r="AA191" s="817"/>
      <c r="AB191" s="1467"/>
      <c r="AC191" s="1642"/>
      <c r="AD191" s="157" t="s">
        <v>809</v>
      </c>
      <c r="AE191" s="972"/>
      <c r="AF191" s="622"/>
      <c r="AG191" s="857" t="s">
        <v>485</v>
      </c>
      <c r="AH191" s="91"/>
      <c r="AI191" s="95"/>
      <c r="AJ191" s="95"/>
      <c r="AK191" s="95"/>
      <c r="AL191" s="861"/>
      <c r="AM191" s="88"/>
      <c r="AN191" s="88"/>
      <c r="AO191" s="861"/>
      <c r="AP191" s="1819"/>
      <c r="AQ191" s="1819"/>
      <c r="AR191" s="861"/>
      <c r="AS191" s="1819"/>
      <c r="AT191" s="1819"/>
      <c r="AU191" s="861"/>
      <c r="AV191" s="95"/>
      <c r="AW191" s="95"/>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819"/>
      <c r="BU191" s="1819"/>
      <c r="BV191" s="861"/>
      <c r="BW191" s="1819"/>
      <c r="BX191" s="1819"/>
      <c r="BY191" s="861"/>
      <c r="BZ191" s="95"/>
      <c r="CA191" s="95"/>
      <c r="CB191" s="861"/>
      <c r="CC191" s="95"/>
      <c r="CD191" s="95"/>
      <c r="CE191" s="861"/>
      <c r="CF191" s="95"/>
      <c r="CG191" s="95"/>
      <c r="CH191" s="861"/>
      <c r="CI191" s="95"/>
      <c r="CJ191" s="95"/>
      <c r="CK191" s="861"/>
      <c r="CL191" s="95"/>
      <c r="CM191" s="95"/>
      <c r="CN191" s="861"/>
      <c r="CO191" s="95"/>
      <c r="CP191" s="95"/>
      <c r="CQ191" s="861"/>
      <c r="CR191" s="95"/>
      <c r="CS191" s="95"/>
      <c r="CT191" s="74"/>
      <c r="CU191" s="1642"/>
      <c r="CV191" s="1642"/>
      <c r="CW191" s="1171" t="s">
        <v>808</v>
      </c>
      <c r="CX191" s="1176" t="s">
        <v>781</v>
      </c>
      <c r="CY191" s="1180" cm="1" t="str">
        <f t="array" ref="CY191:CY191">AE191</f>
        <v>0</v>
      </c>
      <c r="CZ191" s="1180" cm="1" t="str">
        <f t="array" ref="CZ191:CZ191">AF191</f>
        <v>0</v>
      </c>
      <c r="DA191" s="1177"/>
      <c r="DB191" s="1177"/>
    </row>
    <row s="1642" customFormat="1" customHeight="1" ht="15" hidden="1">
      <c r="A192" s="1498"/>
      <c r="B192" s="925"/>
      <c r="C192" s="1498"/>
      <c r="D192" s="1498"/>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98"/>
      <c r="S192" s="156" cm="1" t="str">
        <f t="array" ref="S192:S192">OFFSET(T192,-1,-1)</f>
        <v>true</v>
      </c>
      <c r="T192" s="1498"/>
      <c r="U192" s="816">
        <f>AND(S192,IF(ISBLANK(T192),TRUE,T192))</f>
        <v>1</v>
      </c>
      <c r="V192" s="1498"/>
      <c r="W192" s="1498"/>
      <c r="X192" s="971" t="str">
        <f>"{                  
         funcDyn: 'msg1',
         blok: 'blok_2',
         wsCross: 'Топливо 4.4',
         linkFormula: 'AE-AE#AF-AF',
         levelDyn: "&amp;Y139&amp;"
}"</f>
        <v>{                  
         funcDyn: 'msg1',
         blok: 'blok_2',
         wsCross: 'Топливо 4.4',
         linkFormula: 'AE-AE#AF-AF',
         levelDyn: 1
}</v>
      </c>
      <c r="Y192" s="1498"/>
      <c r="Z192" s="1498"/>
      <c r="AA192" s="817"/>
      <c r="AB192" s="1467"/>
      <c r="AC192" s="1642"/>
      <c r="AD192" s="974"/>
      <c r="AE192" s="973" t="s">
        <v>237</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42"/>
      <c r="CV192" s="1642"/>
      <c r="CW192" s="1171" t="str">
        <f>IF(AND(ISNUMBER(VALUE(TRIM(SUBSTITUTE(AD192,".","")))),TRIM(SUBSTITUTE(AD192,".",""))&lt;&gt;""),"P"&amp;SUBSTITUTE(AD192,".",""),"")</f>
        <v/>
      </c>
      <c r="CX192" s="1176"/>
      <c r="CY192" s="1176"/>
      <c r="CZ192" s="1176"/>
      <c r="DA192" s="1177"/>
      <c r="DB192" s="1177"/>
    </row>
    <row s="1642" customFormat="1" customHeight="1" ht="16.5">
      <c r="A193" s="1498"/>
      <c r="B193" s="925"/>
      <c r="C193" s="1498"/>
      <c r="D193" s="1498"/>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98"/>
      <c r="S193" s="156" cm="1" t="str">
        <f t="array" ref="S193:S193">OFFSET(T193,-1,-1)</f>
        <v>true</v>
      </c>
      <c r="T193" s="1498"/>
      <c r="U193" s="816">
        <f>AND(S193,IF(ISBLANK(T193),TRUE,T193))</f>
        <v>1</v>
      </c>
      <c r="V193" s="1498"/>
      <c r="W193" s="1498"/>
      <c r="X193" s="1498"/>
      <c r="Y193" s="1498"/>
      <c r="Z193" s="1498"/>
      <c r="AA193" s="817"/>
      <c r="AB193" s="1467"/>
      <c r="AC193" s="1642"/>
      <c r="AD193" s="170">
        <v>27</v>
      </c>
      <c r="AE193" s="1472" t="s">
        <v>810</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92"/>
      <c r="CU193" s="1642"/>
      <c r="CV193" s="1642"/>
      <c r="CW193" s="1171" t="s">
        <v>811</v>
      </c>
      <c r="CX193" s="1176"/>
      <c r="CY193" s="1176"/>
      <c r="CZ193" s="1176"/>
      <c r="DA193" s="1177"/>
      <c r="DB193" s="1177"/>
    </row>
    <row s="1642" customFormat="1" customHeight="1" ht="16.5" hidden="1">
      <c r="A194" s="1498"/>
      <c r="B194" s="925"/>
      <c r="C194" s="1498"/>
      <c r="D194" s="1498"/>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98"/>
      <c r="S194" s="156" cm="1" t="str">
        <f t="array" ref="S194:S194">OFFSET(T194,-1,-1)</f>
        <v>true</v>
      </c>
      <c r="T194" s="156">
        <f>AD194&lt;&gt;"27.0"</f>
        <v>0</v>
      </c>
      <c r="U194" s="816">
        <f>AND(S194,IF(ISBLANK(T194),TRUE,T194))</f>
        <v>0</v>
      </c>
      <c r="V194" s="1498"/>
      <c r="W194" s="1498"/>
      <c r="X194" s="156" t="s">
        <v>235</v>
      </c>
      <c r="Y194" s="1498"/>
      <c r="Z194" s="1498"/>
      <c r="AA194" s="817"/>
      <c r="AB194" s="1467"/>
      <c r="AC194" s="1642"/>
      <c r="AD194" s="157" t="s">
        <v>812</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806"/>
      <c r="AQ194" s="1806"/>
      <c r="AR194" s="860">
        <f>_xlfn.IFERROR(AR198/AR175,0)*1000</f>
        <v>0</v>
      </c>
      <c r="AS194" s="1806"/>
      <c r="AT194" s="1806"/>
      <c r="AU194" s="860">
        <f>_xlfn.IFERROR(AU198/AU175,0)*1000</f>
        <v>0</v>
      </c>
      <c r="AV194" s="88"/>
      <c r="AW194" s="88"/>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806"/>
      <c r="BU194" s="1806"/>
      <c r="BV194" s="860">
        <f>_xlfn.IFERROR(BV198/BV175,0)*1000</f>
        <v>0</v>
      </c>
      <c r="BW194" s="1806"/>
      <c r="BX194" s="1806"/>
      <c r="BY194" s="860">
        <f>_xlfn.IFERROR(BY198/BY175,0)*1000</f>
        <v>0</v>
      </c>
      <c r="BZ194" s="88"/>
      <c r="CA194" s="88"/>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42"/>
      <c r="CV194" s="1642"/>
      <c r="CW194" s="1171" t="s">
        <v>811</v>
      </c>
      <c r="CX194" s="1176" t="s">
        <v>781</v>
      </c>
      <c r="CY194" s="1180" cm="1" t="str">
        <f t="array" ref="CY194:CY194">AE194</f>
        <v>0</v>
      </c>
      <c r="CZ194" s="1180" cm="1" t="str">
        <f t="array" ref="CZ194:CZ194">AF194</f>
        <v>0</v>
      </c>
      <c r="DA194" s="1177"/>
      <c r="DB194" s="1177"/>
    </row>
    <row s="1642" customFormat="1" customHeight="1" ht="15" hidden="1">
      <c r="A195" s="1498"/>
      <c r="B195" s="925"/>
      <c r="C195" s="1498"/>
      <c r="D195" s="1498"/>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98"/>
      <c r="S195" s="156" cm="1" t="str">
        <f t="array" ref="S195:S195">OFFSET(T195,-1,-1)</f>
        <v>true</v>
      </c>
      <c r="T195" s="1498"/>
      <c r="U195" s="816">
        <f>AND(S195,IF(ISBLANK(T195),TRUE,T195))</f>
        <v>1</v>
      </c>
      <c r="V195" s="1498"/>
      <c r="W195" s="1498"/>
      <c r="X195" s="971" t="str">
        <f>"{                  
         funcDyn: 'msg1',
         blok: 'blok_2',
         wsCross: 'Топливо 4.4',
         linkFormula: 'AE-AE#AF-AF',
         levelDyn: "&amp;Y139&amp;"
}"</f>
        <v>{                  
         funcDyn: 'msg1',
         blok: 'blok_2',
         wsCross: 'Топливо 4.4',
         linkFormula: 'AE-AE#AF-AF',
         levelDyn: 1
}</v>
      </c>
      <c r="Y195" s="1498"/>
      <c r="Z195" s="1498"/>
      <c r="AA195" s="817"/>
      <c r="AB195" s="1467"/>
      <c r="AC195" s="1642"/>
      <c r="AD195" s="974"/>
      <c r="AE195" s="973" t="s">
        <v>237</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42"/>
      <c r="CV195" s="1642"/>
      <c r="CW195" s="1171" t="str">
        <f>IF(AND(ISNUMBER(VALUE(TRIM(SUBSTITUTE(AD195,".","")))),TRIM(SUBSTITUTE(AD195,".",""))&lt;&gt;""),"P"&amp;SUBSTITUTE(AD195,".",""),"")</f>
        <v/>
      </c>
      <c r="CX195" s="1176"/>
      <c r="CY195" s="1176"/>
      <c r="CZ195" s="1176"/>
      <c r="DA195" s="1177"/>
      <c r="DB195" s="1177"/>
    </row>
    <row s="1642" customFormat="1" customHeight="1" ht="16.5">
      <c r="A196" s="1498"/>
      <c r="B196" s="925"/>
      <c r="C196" s="1498"/>
      <c r="D196" s="1498"/>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98"/>
      <c r="S196" s="156" cm="1" t="str">
        <f t="array" ref="S196:S196">OFFSET(T196,-1,-1)</f>
        <v>true</v>
      </c>
      <c r="T196" s="1498"/>
      <c r="U196" s="816">
        <f>AND(S196,IF(ISBLANK(T196),TRUE,T196))</f>
        <v>1</v>
      </c>
      <c r="V196" s="1498"/>
      <c r="W196" s="1498"/>
      <c r="X196" s="1498"/>
      <c r="Y196" s="1498"/>
      <c r="Z196" s="1498"/>
      <c r="AA196" s="817"/>
      <c r="AB196" s="1467"/>
      <c r="AC196" s="1642"/>
      <c r="AD196" s="170">
        <v>28</v>
      </c>
      <c r="AE196" s="1472" t="s">
        <v>813</v>
      </c>
      <c r="AF196" s="320"/>
      <c r="AG196" s="857" t="s">
        <v>799</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92"/>
      <c r="CU196" s="1642"/>
      <c r="CV196" s="1642"/>
      <c r="CW196" s="1171" t="s">
        <v>814</v>
      </c>
      <c r="CX196" s="1176"/>
      <c r="CY196" s="1176"/>
      <c r="CZ196" s="1176"/>
      <c r="DA196" s="1177"/>
      <c r="DB196" s="1177"/>
    </row>
    <row s="1642" customFormat="1" customHeight="1" ht="16.5" hidden="1">
      <c r="A197" s="1498"/>
      <c r="B197" s="925"/>
      <c r="C197" s="1498"/>
      <c r="D197" s="1498"/>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719</v>
      </c>
      <c r="S197" s="156" cm="1" t="str">
        <f t="array" ref="S197:S197">OFFSET(T197,-1,-1)</f>
        <v>true</v>
      </c>
      <c r="T197" s="920" t="b">
        <v>0</v>
      </c>
      <c r="U197" s="816">
        <f>AND(S197,IF(ISBLANK(T197),TRUE,T197))</f>
        <v>0</v>
      </c>
      <c r="V197" s="1498"/>
      <c r="W197" s="1498"/>
      <c r="X197" s="1498"/>
      <c r="Y197" s="1498"/>
      <c r="Z197" s="1498"/>
      <c r="AA197" s="817"/>
      <c r="AB197" s="1467"/>
      <c r="AC197" s="1642"/>
      <c r="AD197" s="157" t="str">
        <f>AD196&amp;".0"</f>
        <v>28.0</v>
      </c>
      <c r="AE197" s="1347" t="s">
        <v>730</v>
      </c>
      <c r="AF197" s="161"/>
      <c r="AG197" s="857" t="s">
        <v>799</v>
      </c>
      <c r="AH197" s="87">
        <f>AH$163*AH196</f>
        <v>0</v>
      </c>
      <c r="AI197" s="88">
        <f>AI$163*AI196</f>
        <v>0</v>
      </c>
      <c r="AJ197" s="88">
        <f>AJ$163*AJ196</f>
        <v>0</v>
      </c>
      <c r="AK197" s="88">
        <f>AK$163*AK196</f>
        <v>0</v>
      </c>
      <c r="AL197" s="860">
        <f>AM197+AN197</f>
        <v>0</v>
      </c>
      <c r="AM197" s="88">
        <f>AM$163*AM196</f>
        <v>0</v>
      </c>
      <c r="AN197" s="88">
        <f>AN$163*AN196</f>
        <v>0</v>
      </c>
      <c r="AO197" s="860">
        <f>AP197+AQ197</f>
        <v>0</v>
      </c>
      <c r="AP197" s="1806">
        <f>AP$163*AP196</f>
        <v>0</v>
      </c>
      <c r="AQ197" s="1806">
        <f>AQ$163*AQ196</f>
        <v>0</v>
      </c>
      <c r="AR197" s="860">
        <f>AS197+AT197</f>
        <v>0</v>
      </c>
      <c r="AS197" s="1806">
        <f>AS$163*AS196</f>
        <v>0</v>
      </c>
      <c r="AT197" s="1806">
        <f>AT$163*AT196</f>
        <v>0</v>
      </c>
      <c r="AU197" s="860">
        <f>AV197+AW197</f>
        <v>0</v>
      </c>
      <c r="AV197" s="88">
        <f>AV$163*AV196</f>
        <v>0</v>
      </c>
      <c r="AW197" s="88">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806">
        <f>BT$163*BT196</f>
        <v>0</v>
      </c>
      <c r="BU197" s="1806">
        <f>BU$163*BU196</f>
        <v>0</v>
      </c>
      <c r="BV197" s="860">
        <f>BW197+BX197</f>
        <v>0</v>
      </c>
      <c r="BW197" s="1806">
        <f>BW$163*BW196</f>
        <v>0</v>
      </c>
      <c r="BX197" s="1806">
        <f>BX$163*BX196</f>
        <v>0</v>
      </c>
      <c r="BY197" s="860">
        <f>BZ197+CA197</f>
        <v>0</v>
      </c>
      <c r="BZ197" s="88">
        <f>BZ$163*BZ196</f>
        <v>0</v>
      </c>
      <c r="CA197" s="88">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42"/>
      <c r="CV197" s="1642"/>
      <c r="CW197" s="1171" t="s">
        <v>815</v>
      </c>
      <c r="CX197" s="1176"/>
      <c r="CY197" s="1176"/>
      <c r="CZ197" s="1176"/>
      <c r="DA197" s="1177"/>
      <c r="DB197" s="1177"/>
    </row>
    <row s="1642" customFormat="1" customHeight="1" ht="16.5" hidden="1">
      <c r="A198" s="1498"/>
      <c r="B198" s="925"/>
      <c r="C198" s="1498"/>
      <c r="D198" s="1498"/>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98"/>
      <c r="S198" s="156" cm="1" t="str">
        <f t="array" ref="S198:S198">OFFSET(T198,-1,-1)</f>
        <v>true</v>
      </c>
      <c r="T198" s="156">
        <f>AD198&lt;&gt;"28.0"</f>
        <v>0</v>
      </c>
      <c r="U198" s="816">
        <f>AND(S198,IF(ISBLANK(T198),TRUE,T198))</f>
        <v>0</v>
      </c>
      <c r="V198" s="1498"/>
      <c r="W198" s="1498"/>
      <c r="X198" s="156" t="s">
        <v>235</v>
      </c>
      <c r="Y198" s="1498"/>
      <c r="Z198" s="1498"/>
      <c r="AA198" s="817"/>
      <c r="AB198" s="1467"/>
      <c r="AC198" s="1642"/>
      <c r="AD198" s="157" t="s">
        <v>816</v>
      </c>
      <c r="AE198" s="972"/>
      <c r="AF198" s="622"/>
      <c r="AG198" s="857" t="s">
        <v>799</v>
      </c>
      <c r="AH198" s="87"/>
      <c r="AI198" s="88"/>
      <c r="AJ198" s="88"/>
      <c r="AK198" s="88"/>
      <c r="AL198" s="860">
        <f>AM198+AN198</f>
        <v>0</v>
      </c>
      <c r="AM198" s="88">
        <f>AM194*AM175/1000</f>
        <v>0</v>
      </c>
      <c r="AN198" s="88">
        <f>AN194*AN175/1000</f>
        <v>0</v>
      </c>
      <c r="AO198" s="860">
        <f>AP198+AQ198</f>
        <v>0</v>
      </c>
      <c r="AP198" s="1806">
        <f>AP194*AP175/1000</f>
        <v>0</v>
      </c>
      <c r="AQ198" s="1806">
        <f>AQ194*AQ175/1000</f>
        <v>0</v>
      </c>
      <c r="AR198" s="860">
        <f>AS198+AT198</f>
        <v>0</v>
      </c>
      <c r="AS198" s="1806">
        <f>AS194*AS175/1000</f>
        <v>0</v>
      </c>
      <c r="AT198" s="1806">
        <f>AT194*AT175/1000</f>
        <v>0</v>
      </c>
      <c r="AU198" s="860">
        <f>AV198+AW198</f>
        <v>0</v>
      </c>
      <c r="AV198" s="88">
        <f>AV194*AV175/1000</f>
        <v>0</v>
      </c>
      <c r="AW198" s="88">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806">
        <f>BT194*BT175/1000</f>
        <v>0</v>
      </c>
      <c r="BU198" s="1806">
        <f>BU194*BU175/1000</f>
        <v>0</v>
      </c>
      <c r="BV198" s="860">
        <f>BW198+BX198</f>
        <v>0</v>
      </c>
      <c r="BW198" s="1806">
        <f>BW194*BW175/1000</f>
        <v>0</v>
      </c>
      <c r="BX198" s="1806">
        <f>BX194*BX175/1000</f>
        <v>0</v>
      </c>
      <c r="BY198" s="860">
        <f>BZ198+CA198</f>
        <v>0</v>
      </c>
      <c r="BZ198" s="88">
        <f>BZ194*BZ175/1000</f>
        <v>0</v>
      </c>
      <c r="CA198" s="88">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42"/>
      <c r="CV198" s="1642"/>
      <c r="CW198" s="1171" t="s">
        <v>815</v>
      </c>
      <c r="CX198" s="1176" t="s">
        <v>781</v>
      </c>
      <c r="CY198" s="1180" cm="1" t="str">
        <f t="array" ref="CY198:CY198">AE198</f>
        <v>0</v>
      </c>
      <c r="CZ198" s="1180" cm="1" t="str">
        <f t="array" ref="CZ198:CZ198">AF198</f>
        <v>0</v>
      </c>
      <c r="DA198" s="1177"/>
      <c r="DB198" s="1177"/>
    </row>
    <row s="1642" customFormat="1" customHeight="1" ht="15" hidden="1">
      <c r="A199" s="1498"/>
      <c r="B199" s="925"/>
      <c r="C199" s="1498"/>
      <c r="D199" s="1498"/>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98"/>
      <c r="S199" s="156" cm="1" t="str">
        <f t="array" ref="S199:S199">OFFSET(T199,-1,-1)</f>
        <v>true</v>
      </c>
      <c r="T199" s="1498"/>
      <c r="U199" s="816">
        <f>AND(S199,IF(ISBLANK(T199),TRUE,T199))</f>
        <v>1</v>
      </c>
      <c r="V199" s="1498"/>
      <c r="W199" s="1498"/>
      <c r="X199" s="971" t="str">
        <f>"{                  
         funcDyn: 'msg1',
         blok: 'blok_2',
         wsCross: 'Топливо 4.4',
         linkFormula: 'AE-AE#AF-AF',
         levelDyn: "&amp;Y139&amp;"
}"</f>
        <v>{                  
         funcDyn: 'msg1',
         blok: 'blok_2',
         wsCross: 'Топливо 4.4',
         linkFormula: 'AE-AE#AF-AF',
         levelDyn: 1
}</v>
      </c>
      <c r="Y199" s="1498"/>
      <c r="Z199" s="1498"/>
      <c r="AA199" s="817"/>
      <c r="AB199" s="1467"/>
      <c r="AC199" s="1642"/>
      <c r="AD199" s="974"/>
      <c r="AE199" s="973" t="s">
        <v>237</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42"/>
      <c r="CV199" s="1642"/>
      <c r="CW199" s="1171" t="str">
        <f>IF(AND(ISNUMBER(VALUE(TRIM(SUBSTITUTE(AD199,".","")))),TRIM(SUBSTITUTE(AD199,".",""))&lt;&gt;""),"P"&amp;SUBSTITUTE(AD199,".",""),"")</f>
        <v/>
      </c>
      <c r="CX199" s="1176"/>
      <c r="CY199" s="1176"/>
      <c r="CZ199" s="1176"/>
      <c r="DA199" s="1177"/>
      <c r="DB199" s="1177"/>
    </row>
    <row s="1642" customFormat="1" customHeight="1" ht="29.25" hidden="1">
      <c r="A200" s="1498"/>
      <c r="B200" s="925"/>
      <c r="C200" s="1498"/>
      <c r="D200" s="1498"/>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719</v>
      </c>
      <c r="S200" s="156" cm="1" t="str">
        <f t="array" ref="S200:S200">OFFSET(T200,-1,-1)</f>
        <v>true</v>
      </c>
      <c r="T200" s="156" cm="1" t="str">
        <f t="array" ref="T200:T200">L200</f>
        <v>false</v>
      </c>
      <c r="U200" s="816">
        <f>AND(S200,IF(ISBLANK(T200),TRUE,T200))</f>
        <v>0</v>
      </c>
      <c r="V200" s="1498"/>
      <c r="W200" s="1498"/>
      <c r="X200" s="1498"/>
      <c r="Y200" s="1498"/>
      <c r="Z200" s="1498"/>
      <c r="AA200" s="817"/>
      <c r="AB200" s="1467"/>
      <c r="AC200" s="1642"/>
      <c r="AD200" s="170">
        <v>29</v>
      </c>
      <c r="AE200" s="1478" t="s">
        <v>817</v>
      </c>
      <c r="AF200" s="160"/>
      <c r="AG200" s="857" t="s">
        <v>799</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42"/>
      <c r="CV200" s="1642"/>
      <c r="CW200" s="1171" t="s">
        <v>818</v>
      </c>
      <c r="CX200" s="1176"/>
      <c r="CY200" s="1176"/>
      <c r="CZ200" s="1176"/>
      <c r="DA200" s="1177"/>
      <c r="DB200" s="1177"/>
    </row>
    <row s="1642" customFormat="1" customHeight="1" ht="16.5" hidden="1">
      <c r="A201" s="1498"/>
      <c r="B201" s="925"/>
      <c r="C201" s="1498"/>
      <c r="D201" s="1498"/>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719</v>
      </c>
      <c r="S201" s="156" cm="1" t="str">
        <f t="array" ref="S201:S201">OFFSET(T201,-1,-1)</f>
        <v>true</v>
      </c>
      <c r="T201" s="156">
        <f>AND(L201,AD201&lt;&gt;"29.0")</f>
        <v>0</v>
      </c>
      <c r="U201" s="816">
        <f>AND(S201,IF(ISBLANK(T201),TRUE,T201))</f>
        <v>0</v>
      </c>
      <c r="V201" s="1498"/>
      <c r="W201" s="1498"/>
      <c r="X201" s="156" t="s">
        <v>235</v>
      </c>
      <c r="Y201" s="1498"/>
      <c r="Z201" s="1498"/>
      <c r="AA201" s="817"/>
      <c r="AB201" s="1467"/>
      <c r="AC201" s="1642"/>
      <c r="AD201" s="157" t="s">
        <v>819</v>
      </c>
      <c r="AE201" s="972"/>
      <c r="AF201" s="622"/>
      <c r="AG201" s="857" t="s">
        <v>799</v>
      </c>
      <c r="AH201" s="87">
        <f>AH$163*AH198</f>
        <v>0</v>
      </c>
      <c r="AI201" s="88">
        <f>AI$163*AI198</f>
        <v>0</v>
      </c>
      <c r="AJ201" s="88">
        <f>AJ$163*AJ198</f>
        <v>0</v>
      </c>
      <c r="AK201" s="88">
        <f>AK$163*AK198</f>
        <v>0</v>
      </c>
      <c r="AL201" s="860">
        <f>AM201+AN201</f>
        <v>0</v>
      </c>
      <c r="AM201" s="88">
        <f>AM$163*AM198</f>
        <v>0</v>
      </c>
      <c r="AN201" s="88">
        <f>AN$163*AN198</f>
        <v>0</v>
      </c>
      <c r="AO201" s="860">
        <f>AP201+AQ201</f>
        <v>0</v>
      </c>
      <c r="AP201" s="1806">
        <f>AP$163*AP198</f>
        <v>0</v>
      </c>
      <c r="AQ201" s="1806">
        <f>AQ$163*AQ198</f>
        <v>0</v>
      </c>
      <c r="AR201" s="860">
        <f>AS201+AT201</f>
        <v>0</v>
      </c>
      <c r="AS201" s="1806">
        <f>AS$163*AS198</f>
        <v>0</v>
      </c>
      <c r="AT201" s="1806">
        <f>AT$163*AT198</f>
        <v>0</v>
      </c>
      <c r="AU201" s="860">
        <f>AV201+AW201</f>
        <v>0</v>
      </c>
      <c r="AV201" s="88">
        <f>AV$163*AV198</f>
        <v>0</v>
      </c>
      <c r="AW201" s="88">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806">
        <f>BT$163*BT198</f>
        <v>0</v>
      </c>
      <c r="BU201" s="1806">
        <f>BU$163*BU198</f>
        <v>0</v>
      </c>
      <c r="BV201" s="860">
        <f>BW201+BX201</f>
        <v>0</v>
      </c>
      <c r="BW201" s="1806">
        <f>BW$163*BW198</f>
        <v>0</v>
      </c>
      <c r="BX201" s="1806">
        <f>BX$163*BX198</f>
        <v>0</v>
      </c>
      <c r="BY201" s="860">
        <f>BZ201+CA201</f>
        <v>0</v>
      </c>
      <c r="BZ201" s="88">
        <f>BZ$163*BZ198</f>
        <v>0</v>
      </c>
      <c r="CA201" s="88">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42"/>
      <c r="CV201" s="1642"/>
      <c r="CW201" s="1171" t="s">
        <v>818</v>
      </c>
      <c r="CX201" s="1176" t="s">
        <v>781</v>
      </c>
      <c r="CY201" s="1180" cm="1" t="str">
        <f t="array" ref="CY201:CY201">AE201</f>
        <v>0</v>
      </c>
      <c r="CZ201" s="1180" cm="1" t="str">
        <f t="array" ref="CZ201:CZ201">AF201</f>
        <v>0</v>
      </c>
      <c r="DA201" s="1177"/>
      <c r="DB201" s="1177"/>
    </row>
    <row s="1642" customFormat="1" customHeight="1" ht="15" hidden="1">
      <c r="A202" s="1498"/>
      <c r="B202" s="925"/>
      <c r="C202" s="1498"/>
      <c r="D202" s="1498"/>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98"/>
      <c r="S202" s="156" cm="1" t="str">
        <f t="array" ref="S202:S202">OFFSET(T202,-1,-1)</f>
        <v>true</v>
      </c>
      <c r="T202" s="1498"/>
      <c r="U202" s="816">
        <f>AND(S202,IF(ISBLANK(T202),TRUE,T202))</f>
        <v>1</v>
      </c>
      <c r="V202" s="1498"/>
      <c r="W202" s="1498"/>
      <c r="X202" s="971" t="str">
        <f>"{                  
         funcDyn: 'msg1',
         blok: 'blok_2',
         wsCross: 'Топливо 4.4',
         linkFormula: 'AE-AE#AF-AF',
         levelDyn: "&amp;Y139&amp;"
}"</f>
        <v>{                  
         funcDyn: 'msg1',
         blok: 'blok_2',
         wsCross: 'Топливо 4.4',
         linkFormula: 'AE-AE#AF-AF',
         levelDyn: 1
}</v>
      </c>
      <c r="Y202" s="1498"/>
      <c r="Z202" s="1498"/>
      <c r="AA202" s="817"/>
      <c r="AB202" s="1468"/>
      <c r="AC202" s="1642"/>
      <c r="AD202" s="974"/>
      <c r="AE202" s="973" t="s">
        <v>237</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42"/>
      <c r="CV202" s="1642"/>
      <c r="CW202" s="1171" t="str">
        <f>IF(AND(ISNUMBER(VALUE(TRIM(SUBSTITUTE(AD202,".","")))),TRIM(SUBSTITUTE(AD202,".",""))&lt;&gt;""),"P"&amp;SUBSTITUTE(AD202,".",""),"")</f>
        <v/>
      </c>
      <c r="CX202" s="1176"/>
      <c r="CY202" s="1176"/>
      <c r="CZ202" s="1176"/>
      <c r="DA202" s="1177"/>
      <c r="DB202" s="1177"/>
    </row>
    <row s="1642" customFormat="1" customHeight="1" ht="16.5">
      <c r="A203" s="1498"/>
      <c r="B203" s="925"/>
      <c r="C203" s="1498"/>
      <c r="D203" s="1498"/>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98"/>
      <c r="S203" s="156" cm="1" t="str">
        <f t="array" ref="S203:S203">OFFSET(T203,-1,-1)</f>
        <v>true</v>
      </c>
      <c r="T203" s="1498"/>
      <c r="U203" s="816">
        <f>AND(S203,IF(ISBLANK(T203),TRUE,T203))</f>
        <v>1</v>
      </c>
      <c r="V203" s="1498"/>
      <c r="W203" s="1498"/>
      <c r="X203" s="1498"/>
      <c r="Y203" s="1498"/>
      <c r="Z203" s="1498"/>
      <c r="AA203" s="817"/>
      <c r="AB203" s="1469" t="s">
        <v>820</v>
      </c>
      <c r="AC203" s="1642"/>
      <c r="AD203" s="170" t="s">
        <v>821</v>
      </c>
      <c r="AE203" s="1472" t="s">
        <v>822</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92"/>
      <c r="CU203" s="1642"/>
      <c r="CV203" s="1642"/>
      <c r="CW203" s="1171" t="s">
        <v>823</v>
      </c>
      <c r="CX203" s="1176"/>
      <c r="CY203" s="1176"/>
      <c r="CZ203" s="1176"/>
      <c r="DA203" s="1177"/>
      <c r="DB203" s="1177"/>
    </row>
    <row s="1642" customFormat="1" customHeight="1" ht="16.5" hidden="1">
      <c r="A204" s="1498"/>
      <c r="B204" s="925"/>
      <c r="C204" s="1498"/>
      <c r="D204" s="1498"/>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98"/>
      <c r="S204" s="156" cm="1" t="str">
        <f t="array" ref="S204:S204">OFFSET(T204,-1,-1)</f>
        <v>true</v>
      </c>
      <c r="T204" s="156">
        <f>AD204&lt;&gt;"30.0"</f>
        <v>0</v>
      </c>
      <c r="U204" s="816">
        <f>AND(S204,IF(ISBLANK(T204),TRUE,T204))</f>
        <v>0</v>
      </c>
      <c r="V204" s="1498"/>
      <c r="W204" s="1498"/>
      <c r="X204" s="156" t="s">
        <v>235</v>
      </c>
      <c r="Y204" s="1498"/>
      <c r="Z204" s="1498"/>
      <c r="AA204" s="817"/>
      <c r="AB204" s="1470"/>
      <c r="AC204" s="1642"/>
      <c r="AD204" s="157" t="s">
        <v>824</v>
      </c>
      <c r="AE204" s="972"/>
      <c r="AF204" s="622"/>
      <c r="AG204" s="857" t="s">
        <v>485</v>
      </c>
      <c r="AH204" s="91"/>
      <c r="AI204" s="95"/>
      <c r="AJ204" s="95"/>
      <c r="AK204" s="95"/>
      <c r="AL204" s="861"/>
      <c r="AM204" s="95"/>
      <c r="AN204" s="95"/>
      <c r="AO204" s="861"/>
      <c r="AP204" s="1819"/>
      <c r="AQ204" s="1819"/>
      <c r="AR204" s="861"/>
      <c r="AS204" s="1819"/>
      <c r="AT204" s="1819"/>
      <c r="AU204" s="861"/>
      <c r="AV204" s="95"/>
      <c r="AW204" s="95"/>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819"/>
      <c r="BU204" s="1819"/>
      <c r="BV204" s="861"/>
      <c r="BW204" s="1819"/>
      <c r="BX204" s="1819"/>
      <c r="BY204" s="861"/>
      <c r="BZ204" s="95"/>
      <c r="CA204" s="95"/>
      <c r="CB204" s="861"/>
      <c r="CC204" s="95"/>
      <c r="CD204" s="95"/>
      <c r="CE204" s="861"/>
      <c r="CF204" s="95"/>
      <c r="CG204" s="95"/>
      <c r="CH204" s="861"/>
      <c r="CI204" s="95"/>
      <c r="CJ204" s="95"/>
      <c r="CK204" s="861"/>
      <c r="CL204" s="95"/>
      <c r="CM204" s="95"/>
      <c r="CN204" s="861"/>
      <c r="CO204" s="95"/>
      <c r="CP204" s="95"/>
      <c r="CQ204" s="861"/>
      <c r="CR204" s="95"/>
      <c r="CS204" s="95"/>
      <c r="CT204" s="74"/>
      <c r="CU204" s="1642"/>
      <c r="CV204" s="1642"/>
      <c r="CW204" s="1171" t="s">
        <v>823</v>
      </c>
      <c r="CX204" s="1176" t="s">
        <v>781</v>
      </c>
      <c r="CY204" s="1180" cm="1" t="str">
        <f t="array" ref="CY204:CY204">AE204</f>
        <v>0</v>
      </c>
      <c r="CZ204" s="1180" cm="1" t="str">
        <f t="array" ref="CZ204:CZ204">AF204</f>
        <v>0</v>
      </c>
      <c r="DA204" s="1177"/>
      <c r="DB204" s="1177"/>
    </row>
    <row s="1642" customFormat="1" customHeight="1" ht="15" hidden="1">
      <c r="A205" s="1498"/>
      <c r="B205" s="925"/>
      <c r="C205" s="1498"/>
      <c r="D205" s="1498"/>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98"/>
      <c r="S205" s="156" cm="1" t="str">
        <f t="array" ref="S205:S205">OFFSET(T205,-1,-1)</f>
        <v>true</v>
      </c>
      <c r="T205" s="1498"/>
      <c r="U205" s="816">
        <f>AND(S205,IF(ISBLANK(T205),TRUE,T205))</f>
        <v>1</v>
      </c>
      <c r="V205" s="1498"/>
      <c r="W205" s="1498"/>
      <c r="X205" s="971" t="str">
        <f>"{                  
         funcDyn: 'msg1',
         blok: 'blok_2',
         wsCross: 'Топливо 4.4',
         linkFormula: 'AE-AE#AF-AF',
         levelDyn: "&amp;Y139&amp;"
}"</f>
        <v>{                  
         funcDyn: 'msg1',
         blok: 'blok_2',
         wsCross: 'Топливо 4.4',
         linkFormula: 'AE-AE#AF-AF',
         levelDyn: 1
}</v>
      </c>
      <c r="Y205" s="1498"/>
      <c r="Z205" s="1498"/>
      <c r="AA205" s="817"/>
      <c r="AB205" s="1470"/>
      <c r="AC205" s="1642"/>
      <c r="AD205" s="974"/>
      <c r="AE205" s="973" t="s">
        <v>237</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42"/>
      <c r="CV205" s="1642"/>
      <c r="CW205" s="1171" t="str">
        <f>IF(AND(ISNUMBER(VALUE(TRIM(SUBSTITUTE(AD205,".","")))),TRIM(SUBSTITUTE(AD205,".",""))&lt;&gt;""),"P"&amp;SUBSTITUTE(AD205,".",""),"")</f>
        <v/>
      </c>
      <c r="CX205" s="1176"/>
      <c r="CY205" s="1176"/>
      <c r="CZ205" s="1176"/>
      <c r="DA205" s="1177"/>
      <c r="DB205" s="1177"/>
    </row>
    <row s="1642" customFormat="1" customHeight="1" ht="16.5">
      <c r="A206" s="1498"/>
      <c r="B206" s="925"/>
      <c r="C206" s="1498"/>
      <c r="D206" s="1498"/>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98"/>
      <c r="S206" s="156" cm="1" t="str">
        <f t="array" ref="S206:S206">OFFSET(T206,-1,-1)</f>
        <v>true</v>
      </c>
      <c r="T206" s="1498"/>
      <c r="U206" s="816">
        <f>AND(S206,IF(ISBLANK(T206),TRUE,T206))</f>
        <v>1</v>
      </c>
      <c r="V206" s="1498"/>
      <c r="W206" s="1498"/>
      <c r="X206" s="1498"/>
      <c r="Y206" s="1498"/>
      <c r="Z206" s="1498"/>
      <c r="AA206" s="817"/>
      <c r="AB206" s="1470"/>
      <c r="AC206" s="1642"/>
      <c r="AD206" s="170" t="s">
        <v>825</v>
      </c>
      <c r="AE206" s="1472" t="s">
        <v>826</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92"/>
      <c r="CU206" s="1642"/>
      <c r="CV206" s="1642"/>
      <c r="CW206" s="1171" t="s">
        <v>827</v>
      </c>
      <c r="CX206" s="1176"/>
      <c r="CY206" s="1176"/>
      <c r="CZ206" s="1176"/>
      <c r="DA206" s="1177"/>
      <c r="DB206" s="1177"/>
    </row>
    <row s="1642" customFormat="1" customHeight="1" ht="16.5" hidden="1">
      <c r="A207" s="1498"/>
      <c r="B207" s="925"/>
      <c r="C207" s="1498"/>
      <c r="D207" s="1498"/>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98"/>
      <c r="S207" s="156" cm="1" t="str">
        <f t="array" ref="S207:S207">OFFSET(T207,-1,-1)</f>
        <v>true</v>
      </c>
      <c r="T207" s="156">
        <f>AD207&lt;&gt;"31.0"</f>
        <v>0</v>
      </c>
      <c r="U207" s="816">
        <f>AND(S207,IF(ISBLANK(T207),TRUE,T207))</f>
        <v>0</v>
      </c>
      <c r="V207" s="1498"/>
      <c r="W207" s="1498"/>
      <c r="X207" s="156" t="s">
        <v>235</v>
      </c>
      <c r="Y207" s="1498"/>
      <c r="Z207" s="1498"/>
      <c r="AA207" s="817"/>
      <c r="AB207" s="1470"/>
      <c r="AC207" s="1642"/>
      <c r="AD207" s="157" t="s">
        <v>828</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806"/>
      <c r="AQ207" s="1806"/>
      <c r="AR207" s="860">
        <f>_xlfn.IFERROR(AR211/AR175,0)*1000</f>
        <v>0</v>
      </c>
      <c r="AS207" s="1806"/>
      <c r="AT207" s="1806"/>
      <c r="AU207" s="860">
        <f>_xlfn.IFERROR(AU211/AU175,0)*1000</f>
        <v>0</v>
      </c>
      <c r="AV207" s="88"/>
      <c r="AW207" s="88"/>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806"/>
      <c r="BU207" s="1806"/>
      <c r="BV207" s="860">
        <f>_xlfn.IFERROR(BV211/BV175,0)*1000</f>
        <v>0</v>
      </c>
      <c r="BW207" s="1806"/>
      <c r="BX207" s="1806"/>
      <c r="BY207" s="860">
        <f>_xlfn.IFERROR(BY211/BY175,0)*1000</f>
        <v>0</v>
      </c>
      <c r="BZ207" s="88"/>
      <c r="CA207" s="88"/>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42"/>
      <c r="CV207" s="1642"/>
      <c r="CW207" s="1171" t="s">
        <v>827</v>
      </c>
      <c r="CX207" s="1176" t="s">
        <v>781</v>
      </c>
      <c r="CY207" s="1180" cm="1" t="str">
        <f t="array" ref="CY207:CY207">AE207</f>
        <v>0</v>
      </c>
      <c r="CZ207" s="1180" cm="1" t="str">
        <f t="array" ref="CZ207:CZ207">AF207</f>
        <v>0</v>
      </c>
      <c r="DA207" s="1177"/>
      <c r="DB207" s="1177"/>
    </row>
    <row s="1642" customFormat="1" customHeight="1" ht="15" hidden="1">
      <c r="A208" s="1498"/>
      <c r="B208" s="925"/>
      <c r="C208" s="1498"/>
      <c r="D208" s="1498"/>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98"/>
      <c r="S208" s="156" cm="1" t="str">
        <f t="array" ref="S208:S208">OFFSET(T208,-1,-1)</f>
        <v>true</v>
      </c>
      <c r="T208" s="1498"/>
      <c r="U208" s="816">
        <f>AND(S208,IF(ISBLANK(T208),TRUE,T208))</f>
        <v>1</v>
      </c>
      <c r="V208" s="1498"/>
      <c r="W208" s="1498"/>
      <c r="X208" s="971" t="str">
        <f>"{                  
         funcDyn: 'msg1',
         blok: 'blok_2',
         wsCross: 'Топливо 4.4',
         linkFormula: 'AE-AE#AF-AF',
         levelDyn: "&amp;Y139&amp;"
}"</f>
        <v>{                  
         funcDyn: 'msg1',
         blok: 'blok_2',
         wsCross: 'Топливо 4.4',
         linkFormula: 'AE-AE#AF-AF',
         levelDyn: 1
}</v>
      </c>
      <c r="Y208" s="1498"/>
      <c r="Z208" s="1498"/>
      <c r="AA208" s="817"/>
      <c r="AB208" s="1470"/>
      <c r="AC208" s="1642"/>
      <c r="AD208" s="974"/>
      <c r="AE208" s="973" t="s">
        <v>237</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42"/>
      <c r="CV208" s="1642"/>
      <c r="CW208" s="1171" t="str">
        <f>IF(AND(ISNUMBER(VALUE(TRIM(SUBSTITUTE(AD208,".","")))),TRIM(SUBSTITUTE(AD208,".",""))&lt;&gt;""),"P"&amp;SUBSTITUTE(AD208,".",""),"")</f>
        <v/>
      </c>
      <c r="CX208" s="1176"/>
      <c r="CY208" s="1176"/>
      <c r="CZ208" s="1176"/>
      <c r="DA208" s="1177"/>
      <c r="DB208" s="1177"/>
    </row>
    <row s="1642" customFormat="1" customHeight="1" ht="16.5">
      <c r="A209" s="1498"/>
      <c r="B209" s="925"/>
      <c r="C209" s="1498"/>
      <c r="D209" s="1498"/>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98"/>
      <c r="S209" s="156" cm="1" t="str">
        <f t="array" ref="S209:S209">OFFSET(T209,-1,-1)</f>
        <v>true</v>
      </c>
      <c r="T209" s="1498"/>
      <c r="U209" s="816">
        <f>AND(S209,IF(ISBLANK(T209),TRUE,T209))</f>
        <v>1</v>
      </c>
      <c r="V209" s="1498"/>
      <c r="W209" s="1498"/>
      <c r="X209" s="1498"/>
      <c r="Y209" s="1498"/>
      <c r="Z209" s="1498"/>
      <c r="AA209" s="817"/>
      <c r="AB209" s="1470"/>
      <c r="AC209" s="1642"/>
      <c r="AD209" s="170" t="s">
        <v>829</v>
      </c>
      <c r="AE209" s="1472" t="s">
        <v>830</v>
      </c>
      <c r="AF209" s="320"/>
      <c r="AG209" s="857" t="s">
        <v>799</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92"/>
      <c r="CU209" s="1642"/>
      <c r="CV209" s="1642"/>
      <c r="CW209" s="1171" t="s">
        <v>831</v>
      </c>
      <c r="CX209" s="1176"/>
      <c r="CY209" s="1176"/>
      <c r="CZ209" s="1176"/>
      <c r="DA209" s="1177"/>
      <c r="DB209" s="1177"/>
    </row>
    <row s="1642" customFormat="1" customHeight="1" ht="16.5" hidden="1">
      <c r="A210" s="1498"/>
      <c r="B210" s="925"/>
      <c r="C210" s="1498"/>
      <c r="D210" s="1498"/>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719</v>
      </c>
      <c r="S210" s="156" cm="1" t="str">
        <f t="array" ref="S210:S210">OFFSET(T210,-1,-1)</f>
        <v>true</v>
      </c>
      <c r="T210" s="920" t="b">
        <v>0</v>
      </c>
      <c r="U210" s="816">
        <f>AND(S210,IF(ISBLANK(T210),TRUE,T210))</f>
        <v>0</v>
      </c>
      <c r="V210" s="1498"/>
      <c r="W210" s="1498"/>
      <c r="X210" s="1498"/>
      <c r="Y210" s="1498"/>
      <c r="Z210" s="1498"/>
      <c r="AA210" s="817"/>
      <c r="AB210" s="1470"/>
      <c r="AC210" s="1642"/>
      <c r="AD210" s="157" t="str">
        <f>AD209&amp;".0"</f>
        <v>32.0</v>
      </c>
      <c r="AE210" s="1347" t="s">
        <v>730</v>
      </c>
      <c r="AF210" s="161"/>
      <c r="AG210" s="857" t="s">
        <v>799</v>
      </c>
      <c r="AH210" s="87">
        <f>AH163*AH209</f>
        <v>0</v>
      </c>
      <c r="AI210" s="88">
        <f>AI$163*AI209</f>
        <v>0</v>
      </c>
      <c r="AJ210" s="88">
        <f>AJ$163*AJ209</f>
        <v>0</v>
      </c>
      <c r="AK210" s="88">
        <f>AK$163*AK209</f>
        <v>0</v>
      </c>
      <c r="AL210" s="860">
        <f>AM210+AN210</f>
        <v>0</v>
      </c>
      <c r="AM210" s="88">
        <f>AM$163*AM209</f>
        <v>0</v>
      </c>
      <c r="AN210" s="88">
        <f>AN$163*AN209</f>
        <v>0</v>
      </c>
      <c r="AO210" s="860">
        <f>AP210+AQ210</f>
        <v>0</v>
      </c>
      <c r="AP210" s="1806">
        <f>AP$163*AP209</f>
        <v>0</v>
      </c>
      <c r="AQ210" s="1806">
        <f>AQ$163*AQ209</f>
        <v>0</v>
      </c>
      <c r="AR210" s="860">
        <f>AS210+AT210</f>
        <v>0</v>
      </c>
      <c r="AS210" s="1806">
        <f>AS$163*AS209</f>
        <v>0</v>
      </c>
      <c r="AT210" s="1806">
        <f>AT$163*AT209</f>
        <v>0</v>
      </c>
      <c r="AU210" s="860">
        <f>AV210+AW210</f>
        <v>0</v>
      </c>
      <c r="AV210" s="88">
        <f>AV$163*AV209</f>
        <v>0</v>
      </c>
      <c r="AW210" s="88">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806">
        <f>BT$163*BT209</f>
        <v>0</v>
      </c>
      <c r="BU210" s="1806">
        <f>BU$163*BU209</f>
        <v>0</v>
      </c>
      <c r="BV210" s="860">
        <f>BW210+BX210</f>
        <v>0</v>
      </c>
      <c r="BW210" s="1806">
        <f>BW$163*BW209</f>
        <v>0</v>
      </c>
      <c r="BX210" s="1806">
        <f>BX$163*BX209</f>
        <v>0</v>
      </c>
      <c r="BY210" s="860">
        <f>BZ210+CA210</f>
        <v>0</v>
      </c>
      <c r="BZ210" s="88">
        <f>BZ$163*BZ209</f>
        <v>0</v>
      </c>
      <c r="CA210" s="88">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42"/>
      <c r="CV210" s="1642"/>
      <c r="CW210" s="1171" t="s">
        <v>832</v>
      </c>
      <c r="CX210" s="1176"/>
      <c r="CY210" s="1176"/>
      <c r="CZ210" s="1176"/>
      <c r="DA210" s="1177"/>
      <c r="DB210" s="1177"/>
    </row>
    <row s="1642" customFormat="1" customHeight="1" ht="16.5" hidden="1">
      <c r="A211" s="1498"/>
      <c r="B211" s="925"/>
      <c r="C211" s="1498"/>
      <c r="D211" s="1498"/>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98"/>
      <c r="S211" s="156" cm="1" t="str">
        <f t="array" ref="S211:S211">OFFSET(T211,-1,-1)</f>
        <v>true</v>
      </c>
      <c r="T211" s="156">
        <f>AD211&lt;&gt;"32.0"</f>
        <v>0</v>
      </c>
      <c r="U211" s="816">
        <f>AND(S211,IF(ISBLANK(T211),TRUE,T211))</f>
        <v>0</v>
      </c>
      <c r="V211" s="1498"/>
      <c r="W211" s="1498"/>
      <c r="X211" s="156" t="s">
        <v>235</v>
      </c>
      <c r="Y211" s="1498"/>
      <c r="Z211" s="1498"/>
      <c r="AA211" s="817"/>
      <c r="AB211" s="1470"/>
      <c r="AC211" s="1642"/>
      <c r="AD211" s="157" t="s">
        <v>833</v>
      </c>
      <c r="AE211" s="972"/>
      <c r="AF211" s="622"/>
      <c r="AG211" s="857" t="s">
        <v>799</v>
      </c>
      <c r="AH211" s="87"/>
      <c r="AI211" s="88"/>
      <c r="AJ211" s="88"/>
      <c r="AK211" s="88"/>
      <c r="AL211" s="860">
        <f>AM211+AN211</f>
        <v>0</v>
      </c>
      <c r="AM211" s="88">
        <f>AM207*AM175/1000</f>
        <v>0</v>
      </c>
      <c r="AN211" s="88">
        <f>AN207*AN175/1000</f>
        <v>0</v>
      </c>
      <c r="AO211" s="860">
        <f>AP211+AQ211</f>
        <v>0</v>
      </c>
      <c r="AP211" s="1806">
        <f>AP207*AP175/1000</f>
        <v>0</v>
      </c>
      <c r="AQ211" s="1806">
        <f>AQ207*AQ175/1000</f>
        <v>0</v>
      </c>
      <c r="AR211" s="860">
        <f>AS211+AT211</f>
        <v>0</v>
      </c>
      <c r="AS211" s="1806">
        <f>AS207*AS175/1000</f>
        <v>0</v>
      </c>
      <c r="AT211" s="1806">
        <f>AT207*AT175/1000</f>
        <v>0</v>
      </c>
      <c r="AU211" s="860">
        <f>AV211+AW211</f>
        <v>0</v>
      </c>
      <c r="AV211" s="88">
        <f>AV207*AV175/1000</f>
        <v>0</v>
      </c>
      <c r="AW211" s="88">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806">
        <f>BT207*BT175/1000</f>
        <v>0</v>
      </c>
      <c r="BU211" s="1806">
        <f>BU207*BU175/1000</f>
        <v>0</v>
      </c>
      <c r="BV211" s="860">
        <f>BW211+BX211</f>
        <v>0</v>
      </c>
      <c r="BW211" s="1806">
        <f>BW207*BW175/1000</f>
        <v>0</v>
      </c>
      <c r="BX211" s="1806">
        <f>BX207*BX175/1000</f>
        <v>0</v>
      </c>
      <c r="BY211" s="860">
        <f>BZ211+CA211</f>
        <v>0</v>
      </c>
      <c r="BZ211" s="88">
        <f>BZ207*BZ175/1000</f>
        <v>0</v>
      </c>
      <c r="CA211" s="88">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42"/>
      <c r="CV211" s="1642"/>
      <c r="CW211" s="1171" t="s">
        <v>832</v>
      </c>
      <c r="CX211" s="1176" t="s">
        <v>781</v>
      </c>
      <c r="CY211" s="1180" cm="1" t="str">
        <f t="array" ref="CY211:CY211">AE211</f>
        <v>0</v>
      </c>
      <c r="CZ211" s="1180" cm="1" t="str">
        <f t="array" ref="CZ211:CZ211">AF211</f>
        <v>0</v>
      </c>
      <c r="DA211" s="1177"/>
      <c r="DB211" s="1177"/>
    </row>
    <row s="1642" customFormat="1" customHeight="1" ht="15" hidden="1">
      <c r="A212" s="1498"/>
      <c r="B212" s="925"/>
      <c r="C212" s="1498"/>
      <c r="D212" s="1498"/>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98"/>
      <c r="S212" s="156" cm="1" t="str">
        <f t="array" ref="S212:S212">OFFSET(T212,-1,-1)</f>
        <v>true</v>
      </c>
      <c r="T212" s="1498"/>
      <c r="U212" s="816">
        <f>AND(S212,IF(ISBLANK(T212),TRUE,T212))</f>
        <v>1</v>
      </c>
      <c r="V212" s="1498"/>
      <c r="W212" s="1498"/>
      <c r="X212" s="971" t="str">
        <f>"{                  
         funcDyn: 'msg1',
         blok: 'blok_2',
         wsCross: 'Топливо 4.4',
         linkFormula: 'AE-AE#AF-AF',
         levelDyn: "&amp;Y139&amp;"
}"</f>
        <v>{                  
         funcDyn: 'msg1',
         blok: 'blok_2',
         wsCross: 'Топливо 4.4',
         linkFormula: 'AE-AE#AF-AF',
         levelDyn: 1
}</v>
      </c>
      <c r="Y212" s="1498"/>
      <c r="Z212" s="1498"/>
      <c r="AA212" s="817"/>
      <c r="AB212" s="1470"/>
      <c r="AC212" s="1642"/>
      <c r="AD212" s="974"/>
      <c r="AE212" s="973" t="s">
        <v>237</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42"/>
      <c r="CV212" s="1642"/>
      <c r="CW212" s="1171" t="str">
        <f>IF(AND(ISNUMBER(VALUE(TRIM(SUBSTITUTE(AD212,".","")))),TRIM(SUBSTITUTE(AD212,".",""))&lt;&gt;""),"P"&amp;SUBSTITUTE(AD212,".",""),"")</f>
        <v/>
      </c>
      <c r="CX212" s="1176"/>
      <c r="CY212" s="1176"/>
      <c r="CZ212" s="1176"/>
      <c r="DA212" s="1177"/>
      <c r="DB212" s="1177"/>
    </row>
    <row s="1642" customFormat="1" customHeight="1" ht="29.25" hidden="1">
      <c r="A213" s="1498"/>
      <c r="B213" s="925"/>
      <c r="C213" s="1498"/>
      <c r="D213" s="1498"/>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719</v>
      </c>
      <c r="S213" s="156" cm="1" t="str">
        <f t="array" ref="S213:S213">OFFSET(T213,-1,-1)</f>
        <v>true</v>
      </c>
      <c r="T213" s="156" cm="1" t="str">
        <f t="array" ref="T213:T213">L213</f>
        <v>false</v>
      </c>
      <c r="U213" s="816">
        <f>AND(S213,IF(ISBLANK(T213),TRUE,T213))</f>
        <v>0</v>
      </c>
      <c r="V213" s="1498"/>
      <c r="W213" s="1498"/>
      <c r="X213" s="1498"/>
      <c r="Y213" s="1498"/>
      <c r="Z213" s="1498"/>
      <c r="AA213" s="817"/>
      <c r="AB213" s="1470"/>
      <c r="AC213" s="1642"/>
      <c r="AD213" s="170" t="s">
        <v>834</v>
      </c>
      <c r="AE213" s="1478" t="s">
        <v>835</v>
      </c>
      <c r="AF213" s="160"/>
      <c r="AG213" s="857" t="s">
        <v>799</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42"/>
      <c r="CV213" s="1642"/>
      <c r="CW213" s="1171" t="s">
        <v>836</v>
      </c>
      <c r="CX213" s="1176"/>
      <c r="CY213" s="1176"/>
      <c r="CZ213" s="1176"/>
      <c r="DA213" s="1177"/>
      <c r="DB213" s="1177"/>
    </row>
    <row s="1642" customFormat="1" customHeight="1" ht="16.5" hidden="1">
      <c r="A214" s="1498"/>
      <c r="B214" s="925"/>
      <c r="C214" s="1498"/>
      <c r="D214" s="1498"/>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719</v>
      </c>
      <c r="S214" s="156" cm="1" t="str">
        <f t="array" ref="S214:S214">OFFSET(T214,-1,-1)</f>
        <v>true</v>
      </c>
      <c r="T214" s="156">
        <f>AND(L214,AD214&lt;&gt;"33.0")</f>
        <v>0</v>
      </c>
      <c r="U214" s="816">
        <f>AND(S214,IF(ISBLANK(T214),TRUE,T214))</f>
        <v>0</v>
      </c>
      <c r="V214" s="1498"/>
      <c r="W214" s="1498"/>
      <c r="X214" s="156" t="s">
        <v>235</v>
      </c>
      <c r="Y214" s="1498"/>
      <c r="Z214" s="1498"/>
      <c r="AA214" s="817"/>
      <c r="AB214" s="1470"/>
      <c r="AC214" s="1642"/>
      <c r="AD214" s="157" t="s">
        <v>837</v>
      </c>
      <c r="AE214" s="972"/>
      <c r="AF214" s="622"/>
      <c r="AG214" s="857" t="s">
        <v>799</v>
      </c>
      <c r="AH214" s="87">
        <f>AH$163*AH211</f>
        <v>0</v>
      </c>
      <c r="AI214" s="88">
        <f>AI$163*AI211</f>
        <v>0</v>
      </c>
      <c r="AJ214" s="88">
        <f>AJ$163*AJ211</f>
        <v>0</v>
      </c>
      <c r="AK214" s="88">
        <f>AK$163*AK211</f>
        <v>0</v>
      </c>
      <c r="AL214" s="860">
        <f>AM214+AN214</f>
        <v>0</v>
      </c>
      <c r="AM214" s="88">
        <f>AM$163*AM211</f>
        <v>0</v>
      </c>
      <c r="AN214" s="88">
        <f>AN$163*AN211</f>
        <v>0</v>
      </c>
      <c r="AO214" s="860">
        <f>AP214+AQ214</f>
        <v>0</v>
      </c>
      <c r="AP214" s="1806">
        <f>AP$163*AP211</f>
        <v>0</v>
      </c>
      <c r="AQ214" s="1806">
        <f>AQ$163*AQ211</f>
        <v>0</v>
      </c>
      <c r="AR214" s="860">
        <f>AS214+AT214</f>
        <v>0</v>
      </c>
      <c r="AS214" s="1806">
        <f>AS$163*AS211</f>
        <v>0</v>
      </c>
      <c r="AT214" s="1806">
        <f>AT$163*AT211</f>
        <v>0</v>
      </c>
      <c r="AU214" s="860">
        <f>AV214+AW214</f>
        <v>0</v>
      </c>
      <c r="AV214" s="88">
        <f>AV$163*AV211</f>
        <v>0</v>
      </c>
      <c r="AW214" s="88">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806">
        <f>BT$163*BT211</f>
        <v>0</v>
      </c>
      <c r="BU214" s="1806">
        <f>BU$163*BU211</f>
        <v>0</v>
      </c>
      <c r="BV214" s="860">
        <f>BW214+BX214</f>
        <v>0</v>
      </c>
      <c r="BW214" s="1806">
        <f>BW$163*BW211</f>
        <v>0</v>
      </c>
      <c r="BX214" s="1806">
        <f>BX$163*BX211</f>
        <v>0</v>
      </c>
      <c r="BY214" s="860">
        <f>BZ214+CA214</f>
        <v>0</v>
      </c>
      <c r="BZ214" s="88">
        <f>BZ$163*BZ211</f>
        <v>0</v>
      </c>
      <c r="CA214" s="88">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42"/>
      <c r="CV214" s="1642"/>
      <c r="CW214" s="1171" t="s">
        <v>836</v>
      </c>
      <c r="CX214" s="1176" t="s">
        <v>781</v>
      </c>
      <c r="CY214" s="1180" cm="1" t="str">
        <f t="array" ref="CY214:CY214">AE214</f>
        <v>0</v>
      </c>
      <c r="CZ214" s="1180" cm="1" t="str">
        <f t="array" ref="CZ214:CZ214">AF214</f>
        <v>0</v>
      </c>
      <c r="DA214" s="1177"/>
      <c r="DB214" s="1177"/>
    </row>
    <row s="1642" customFormat="1" customHeight="1" ht="15" hidden="1">
      <c r="A215" s="1498"/>
      <c r="B215" s="925"/>
      <c r="C215" s="1498"/>
      <c r="D215" s="1498"/>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98"/>
      <c r="S215" s="156" cm="1" t="str">
        <f t="array" ref="S215:S215">OFFSET(T215,-1,-1)</f>
        <v>true</v>
      </c>
      <c r="T215" s="1498"/>
      <c r="U215" s="816">
        <f>AND(S215,IF(ISBLANK(T215),TRUE,T215))</f>
        <v>1</v>
      </c>
      <c r="V215" s="1498"/>
      <c r="W215" s="1498"/>
      <c r="X215" s="971" t="str">
        <f>"{                  
         funcDyn: 'msg1',
         blok: 'blok_2',
         wsCross: 'Топливо 4.4',
         linkFormula: 'AE-AE#AF-AF',
         levelDyn: "&amp;Y139&amp;"
}"</f>
        <v>{                  
         funcDyn: 'msg1',
         blok: 'blok_2',
         wsCross: 'Топливо 4.4',
         linkFormula: 'AE-AE#AF-AF',
         levelDyn: 1
}</v>
      </c>
      <c r="Y215" s="1498"/>
      <c r="Z215" s="1498"/>
      <c r="AA215" s="817"/>
      <c r="AB215" s="1471"/>
      <c r="AC215" s="1642"/>
      <c r="AD215" s="974"/>
      <c r="AE215" s="973" t="s">
        <v>237</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42"/>
      <c r="CV215" s="1642"/>
      <c r="CW215" s="1171" t="str">
        <f>IF(AND(ISNUMBER(VALUE(TRIM(SUBSTITUTE(AD215,".","")))),TRIM(SUBSTITUTE(AD215,".",""))&lt;&gt;""),"P"&amp;SUBSTITUTE(AD215,".",""),"")</f>
        <v/>
      </c>
      <c r="CX215" s="1176"/>
      <c r="CY215" s="1176"/>
      <c r="CZ215" s="1176"/>
      <c r="DA215" s="1177"/>
      <c r="DB215" s="1177"/>
    </row>
    <row s="1642" customFormat="1" customHeight="1" ht="16.5">
      <c r="A216" s="1498"/>
      <c r="B216" s="925"/>
      <c r="C216" s="1498"/>
      <c r="D216" s="1498"/>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98"/>
      <c r="S216" s="156" cm="1" t="str">
        <f t="array" ref="S216:S216">OFFSET(T216,-1,-1)</f>
        <v>true</v>
      </c>
      <c r="T216" s="1498"/>
      <c r="U216" s="816">
        <f>AND(S216,IF(ISBLANK(T216),TRUE,T216))</f>
        <v>1</v>
      </c>
      <c r="V216" s="1498"/>
      <c r="W216" s="1498"/>
      <c r="X216" s="1498"/>
      <c r="Y216" s="1498"/>
      <c r="Z216" s="1498"/>
      <c r="AA216" s="817"/>
      <c r="AB216" s="1460" t="s">
        <v>838</v>
      </c>
      <c r="AC216" s="1642"/>
      <c r="AD216" s="170" t="s">
        <v>839</v>
      </c>
      <c r="AE216" s="1472" t="s">
        <v>840</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92"/>
      <c r="CU216" s="1642"/>
      <c r="CV216" s="1642"/>
      <c r="CW216" s="1171" t="s">
        <v>841</v>
      </c>
      <c r="CX216" s="1176"/>
      <c r="CY216" s="1176"/>
      <c r="CZ216" s="1176"/>
      <c r="DA216" s="1177"/>
      <c r="DB216" s="1177"/>
    </row>
    <row s="1642" customFormat="1" customHeight="1" ht="16.5" hidden="1">
      <c r="A217" s="1498"/>
      <c r="B217" s="925"/>
      <c r="C217" s="1498"/>
      <c r="D217" s="1498"/>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98"/>
      <c r="S217" s="156" cm="1" t="str">
        <f t="array" ref="S217:S217">OFFSET(T217,-1,-1)</f>
        <v>true</v>
      </c>
      <c r="T217" s="156">
        <f>AD217&lt;&gt;"34.0"</f>
        <v>0</v>
      </c>
      <c r="U217" s="816">
        <f>AND(S217,IF(ISBLANK(T217),TRUE,T217))</f>
        <v>0</v>
      </c>
      <c r="V217" s="1498"/>
      <c r="W217" s="1498"/>
      <c r="X217" s="156" t="s">
        <v>235</v>
      </c>
      <c r="Y217" s="1498"/>
      <c r="Z217" s="1498"/>
      <c r="AA217" s="817"/>
      <c r="AB217" s="1461"/>
      <c r="AC217" s="1642"/>
      <c r="AD217" s="157" t="s">
        <v>842</v>
      </c>
      <c r="AE217" s="972"/>
      <c r="AF217" s="622"/>
      <c r="AG217" s="857" t="s">
        <v>485</v>
      </c>
      <c r="AH217" s="91"/>
      <c r="AI217" s="95"/>
      <c r="AJ217" s="95"/>
      <c r="AK217" s="95"/>
      <c r="AL217" s="861"/>
      <c r="AM217" s="95"/>
      <c r="AN217" s="95"/>
      <c r="AO217" s="861"/>
      <c r="AP217" s="1819"/>
      <c r="AQ217" s="1819"/>
      <c r="AR217" s="861"/>
      <c r="AS217" s="1819"/>
      <c r="AT217" s="1819"/>
      <c r="AU217" s="861"/>
      <c r="AV217" s="95"/>
      <c r="AW217" s="95"/>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819"/>
      <c r="BU217" s="1819"/>
      <c r="BV217" s="861"/>
      <c r="BW217" s="1819"/>
      <c r="BX217" s="1819"/>
      <c r="BY217" s="861"/>
      <c r="BZ217" s="95"/>
      <c r="CA217" s="95"/>
      <c r="CB217" s="861"/>
      <c r="CC217" s="95"/>
      <c r="CD217" s="95"/>
      <c r="CE217" s="861"/>
      <c r="CF217" s="95"/>
      <c r="CG217" s="95"/>
      <c r="CH217" s="861"/>
      <c r="CI217" s="95"/>
      <c r="CJ217" s="95"/>
      <c r="CK217" s="861"/>
      <c r="CL217" s="95"/>
      <c r="CM217" s="95"/>
      <c r="CN217" s="861"/>
      <c r="CO217" s="95"/>
      <c r="CP217" s="95"/>
      <c r="CQ217" s="861"/>
      <c r="CR217" s="95"/>
      <c r="CS217" s="95"/>
      <c r="CT217" s="74"/>
      <c r="CU217" s="1642"/>
      <c r="CV217" s="1642"/>
      <c r="CW217" s="1171" t="s">
        <v>841</v>
      </c>
      <c r="CX217" s="1176" t="s">
        <v>781</v>
      </c>
      <c r="CY217" s="1180" cm="1" t="str">
        <f t="array" ref="CY217:CY217">AE217</f>
        <v>0</v>
      </c>
      <c r="CZ217" s="1180" cm="1" t="str">
        <f t="array" ref="CZ217:CZ217">AF217</f>
        <v>0</v>
      </c>
      <c r="DA217" s="1177"/>
      <c r="DB217" s="1177"/>
    </row>
    <row s="1642" customFormat="1" customHeight="1" ht="15" hidden="1">
      <c r="A218" s="1498"/>
      <c r="B218" s="925"/>
      <c r="C218" s="1498"/>
      <c r="D218" s="1498"/>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98"/>
      <c r="S218" s="156" cm="1" t="str">
        <f t="array" ref="S218:S218">OFFSET(T218,-1,-1)</f>
        <v>true</v>
      </c>
      <c r="T218" s="1498"/>
      <c r="U218" s="816">
        <f>AND(S218,IF(ISBLANK(T218),TRUE,T218))</f>
        <v>1</v>
      </c>
      <c r="V218" s="1498"/>
      <c r="W218" s="1498"/>
      <c r="X218" s="971" t="str">
        <f>"{                  
         funcDyn: 'msg1',
         blok: 'blok_2',
         wsCross: 'Топливо 4.4',
         linkFormula: 'AE-AE#AF-AF',
         levelDyn: "&amp;Y139&amp;"
}"</f>
        <v>{                  
         funcDyn: 'msg1',
         blok: 'blok_2',
         wsCross: 'Топливо 4.4',
         linkFormula: 'AE-AE#AF-AF',
         levelDyn: 1
}</v>
      </c>
      <c r="Y218" s="1498"/>
      <c r="Z218" s="1498"/>
      <c r="AA218" s="817"/>
      <c r="AB218" s="1461"/>
      <c r="AC218" s="1642"/>
      <c r="AD218" s="974"/>
      <c r="AE218" s="973" t="s">
        <v>237</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42"/>
      <c r="CV218" s="1642"/>
      <c r="CW218" s="1171" t="str">
        <f>IF(AND(ISNUMBER(VALUE(TRIM(SUBSTITUTE(AD218,".","")))),TRIM(SUBSTITUTE(AD218,".",""))&lt;&gt;""),"P"&amp;SUBSTITUTE(AD218,".",""),"")</f>
        <v/>
      </c>
      <c r="CX218" s="1176"/>
      <c r="CY218" s="1176"/>
      <c r="CZ218" s="1176"/>
      <c r="DA218" s="1177"/>
      <c r="DB218" s="1177"/>
    </row>
    <row s="1642" customFormat="1" customHeight="1" ht="16.5">
      <c r="A219" s="1498"/>
      <c r="B219" s="925"/>
      <c r="C219" s="1498"/>
      <c r="D219" s="1498"/>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98"/>
      <c r="S219" s="156" cm="1" t="str">
        <f t="array" ref="S219:S219">OFFSET(T219,-1,-1)</f>
        <v>true</v>
      </c>
      <c r="T219" s="1498"/>
      <c r="U219" s="816">
        <f>AND(S219,IF(ISBLANK(T219),TRUE,T219))</f>
        <v>1</v>
      </c>
      <c r="V219" s="1498"/>
      <c r="W219" s="1498"/>
      <c r="X219" s="1498"/>
      <c r="Y219" s="1498"/>
      <c r="Z219" s="1498"/>
      <c r="AA219" s="817"/>
      <c r="AB219" s="1461"/>
      <c r="AC219" s="1642"/>
      <c r="AD219" s="170" t="s">
        <v>843</v>
      </c>
      <c r="AE219" s="1472" t="s">
        <v>844</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92"/>
      <c r="CU219" s="1642"/>
      <c r="CV219" s="1642"/>
      <c r="CW219" s="1171" t="s">
        <v>845</v>
      </c>
      <c r="CX219" s="1176"/>
      <c r="CY219" s="1176"/>
      <c r="CZ219" s="1176"/>
      <c r="DA219" s="1177"/>
      <c r="DB219" s="1177"/>
    </row>
    <row s="1642" customFormat="1" customHeight="1" ht="16.5" hidden="1">
      <c r="A220" s="1498"/>
      <c r="B220" s="925"/>
      <c r="C220" s="1498"/>
      <c r="D220" s="1498"/>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98"/>
      <c r="S220" s="156" cm="1" t="str">
        <f t="array" ref="S220:S220">OFFSET(T220,-1,-1)</f>
        <v>true</v>
      </c>
      <c r="T220" s="156">
        <f>AD220&lt;&gt;"35.0"</f>
        <v>0</v>
      </c>
      <c r="U220" s="816">
        <f>AND(S220,IF(ISBLANK(T220),TRUE,T220))</f>
        <v>0</v>
      </c>
      <c r="V220" s="1498"/>
      <c r="W220" s="1498"/>
      <c r="X220" s="156" t="s">
        <v>235</v>
      </c>
      <c r="Y220" s="1498"/>
      <c r="Z220" s="1498"/>
      <c r="AA220" s="817"/>
      <c r="AB220" s="1461"/>
      <c r="AC220" s="1642"/>
      <c r="AD220" s="157" t="s">
        <v>846</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806"/>
      <c r="AQ220" s="1806"/>
      <c r="AR220" s="860">
        <f>_xlfn.IFERROR(AR224/AR175,0)*1000</f>
        <v>0</v>
      </c>
      <c r="AS220" s="1806"/>
      <c r="AT220" s="1806"/>
      <c r="AU220" s="860">
        <f>_xlfn.IFERROR(AU224/AU175,0)*1000</f>
        <v>0</v>
      </c>
      <c r="AV220" s="88"/>
      <c r="AW220" s="88"/>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806"/>
      <c r="BU220" s="1806"/>
      <c r="BV220" s="860">
        <f>_xlfn.IFERROR(BV224/BV175,0)*1000</f>
        <v>0</v>
      </c>
      <c r="BW220" s="1806"/>
      <c r="BX220" s="1806"/>
      <c r="BY220" s="860">
        <f>_xlfn.IFERROR(BY224/BY175,0)*1000</f>
        <v>0</v>
      </c>
      <c r="BZ220" s="88"/>
      <c r="CA220" s="88"/>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42"/>
      <c r="CV220" s="1642"/>
      <c r="CW220" s="1171" t="s">
        <v>845</v>
      </c>
      <c r="CX220" s="1176" t="s">
        <v>781</v>
      </c>
      <c r="CY220" s="1180" cm="1" t="str">
        <f t="array" ref="CY220:CY220">AE220</f>
        <v>0</v>
      </c>
      <c r="CZ220" s="1180" cm="1" t="str">
        <f t="array" ref="CZ220:CZ220">AF220</f>
        <v>0</v>
      </c>
      <c r="DA220" s="1177"/>
      <c r="DB220" s="1177"/>
    </row>
    <row s="1642" customFormat="1" customHeight="1" ht="15" hidden="1">
      <c r="A221" s="1498"/>
      <c r="B221" s="925"/>
      <c r="C221" s="1498"/>
      <c r="D221" s="1498"/>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98"/>
      <c r="S221" s="156" cm="1" t="str">
        <f t="array" ref="S221:S221">OFFSET(T221,-1,-1)</f>
        <v>true</v>
      </c>
      <c r="T221" s="1498"/>
      <c r="U221" s="816">
        <f>AND(S221,IF(ISBLANK(T221),TRUE,T221))</f>
        <v>1</v>
      </c>
      <c r="V221" s="1498"/>
      <c r="W221" s="1498"/>
      <c r="X221" s="971" t="str">
        <f>"{                  
         funcDyn: 'msg1',
         blok: 'blok_2',
         wsCross: 'Топливо 4.4',
         linkFormula: 'AE-AE#AF-AF',
         levelDyn: "&amp;Y139&amp;"
}"</f>
        <v>{                  
         funcDyn: 'msg1',
         blok: 'blok_2',
         wsCross: 'Топливо 4.4',
         linkFormula: 'AE-AE#AF-AF',
         levelDyn: 1
}</v>
      </c>
      <c r="Y221" s="1498"/>
      <c r="Z221" s="1498"/>
      <c r="AA221" s="817"/>
      <c r="AB221" s="1461"/>
      <c r="AC221" s="1642"/>
      <c r="AD221" s="974"/>
      <c r="AE221" s="973" t="s">
        <v>237</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42"/>
      <c r="CV221" s="1642"/>
      <c r="CW221" s="1171" t="str">
        <f>IF(AND(ISNUMBER(VALUE(TRIM(SUBSTITUTE(AD221,".","")))),TRIM(SUBSTITUTE(AD221,".",""))&lt;&gt;""),"P"&amp;SUBSTITUTE(AD221,".",""),"")</f>
        <v/>
      </c>
      <c r="CX221" s="1176"/>
      <c r="CY221" s="1176"/>
      <c r="CZ221" s="1176"/>
      <c r="DA221" s="1177"/>
      <c r="DB221" s="1177"/>
    </row>
    <row s="1642" customFormat="1" customHeight="1" ht="16.5">
      <c r="A222" s="1498"/>
      <c r="B222" s="925"/>
      <c r="C222" s="1498"/>
      <c r="D222" s="1498"/>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98"/>
      <c r="S222" s="156" cm="1" t="str">
        <f t="array" ref="S222:S222">OFFSET(T222,-1,-1)</f>
        <v>true</v>
      </c>
      <c r="T222" s="1498"/>
      <c r="U222" s="816">
        <f>AND(S222,IF(ISBLANK(T222),TRUE,T222))</f>
        <v>1</v>
      </c>
      <c r="V222" s="1498"/>
      <c r="W222" s="1498"/>
      <c r="X222" s="1498"/>
      <c r="Y222" s="1498"/>
      <c r="Z222" s="1498"/>
      <c r="AA222" s="817"/>
      <c r="AB222" s="1461"/>
      <c r="AC222" s="1642"/>
      <c r="AD222" s="170" t="s">
        <v>847</v>
      </c>
      <c r="AE222" s="1472" t="s">
        <v>848</v>
      </c>
      <c r="AF222" s="320"/>
      <c r="AG222" s="857" t="s">
        <v>799</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92"/>
      <c r="CU222" s="1642"/>
      <c r="CV222" s="1642"/>
      <c r="CW222" s="1171" t="s">
        <v>849</v>
      </c>
      <c r="CX222" s="1176"/>
      <c r="CY222" s="1176"/>
      <c r="CZ222" s="1176"/>
      <c r="DA222" s="1177"/>
      <c r="DB222" s="1177"/>
    </row>
    <row s="1642" customFormat="1" customHeight="1" ht="16.5" hidden="1">
      <c r="A223" s="1498"/>
      <c r="B223" s="925"/>
      <c r="C223" s="1498"/>
      <c r="D223" s="1498"/>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719</v>
      </c>
      <c r="S223" s="156" cm="1" t="str">
        <f t="array" ref="S223:S223">OFFSET(T223,-1,-1)</f>
        <v>true</v>
      </c>
      <c r="T223" s="920" t="b">
        <v>0</v>
      </c>
      <c r="U223" s="816">
        <f>AND(S223,IF(ISBLANK(T223),TRUE,T223))</f>
        <v>0</v>
      </c>
      <c r="V223" s="1498"/>
      <c r="W223" s="1498"/>
      <c r="X223" s="1498"/>
      <c r="Y223" s="1498"/>
      <c r="Z223" s="1498"/>
      <c r="AA223" s="817"/>
      <c r="AB223" s="1461"/>
      <c r="AC223" s="1642"/>
      <c r="AD223" s="157" t="str">
        <f>AD222&amp;".0"</f>
        <v>36.0</v>
      </c>
      <c r="AE223" s="1347" t="s">
        <v>730</v>
      </c>
      <c r="AF223" s="161"/>
      <c r="AG223" s="857" t="s">
        <v>799</v>
      </c>
      <c r="AH223" s="87">
        <f>AH$163*AH222</f>
        <v>0</v>
      </c>
      <c r="AI223" s="88">
        <f>AI$163*AI222</f>
        <v>0</v>
      </c>
      <c r="AJ223" s="88">
        <f>AJ$163*AJ222</f>
        <v>0</v>
      </c>
      <c r="AK223" s="88">
        <f>AK$163*AK222</f>
        <v>0</v>
      </c>
      <c r="AL223" s="860">
        <f>AM223+AN223</f>
        <v>0</v>
      </c>
      <c r="AM223" s="88">
        <f>AM$163*AM222</f>
        <v>0</v>
      </c>
      <c r="AN223" s="88">
        <f>AN$163*AN222</f>
        <v>0</v>
      </c>
      <c r="AO223" s="860">
        <f>AP223+AQ223</f>
        <v>0</v>
      </c>
      <c r="AP223" s="1806">
        <f>AP$163*AP222</f>
        <v>0</v>
      </c>
      <c r="AQ223" s="1806">
        <f>AQ$163*AQ222</f>
        <v>0</v>
      </c>
      <c r="AR223" s="860">
        <f>AS223+AT223</f>
        <v>0</v>
      </c>
      <c r="AS223" s="1806">
        <f>AS$163*AS222</f>
        <v>0</v>
      </c>
      <c r="AT223" s="1806">
        <f>AT$163*AT222</f>
        <v>0</v>
      </c>
      <c r="AU223" s="860">
        <f>AV223+AW223</f>
        <v>0</v>
      </c>
      <c r="AV223" s="88">
        <f>AV$163*AV222</f>
        <v>0</v>
      </c>
      <c r="AW223" s="88">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806">
        <f>BT$163*BT222</f>
        <v>0</v>
      </c>
      <c r="BU223" s="1806">
        <f>BU$163*BU222</f>
        <v>0</v>
      </c>
      <c r="BV223" s="860">
        <f>BW223+BX223</f>
        <v>0</v>
      </c>
      <c r="BW223" s="1806">
        <f>BW$163*BW222</f>
        <v>0</v>
      </c>
      <c r="BX223" s="1806">
        <f>BX$163*BX222</f>
        <v>0</v>
      </c>
      <c r="BY223" s="860">
        <f>BZ223+CA223</f>
        <v>0</v>
      </c>
      <c r="BZ223" s="88">
        <f>BZ$163*BZ222</f>
        <v>0</v>
      </c>
      <c r="CA223" s="88">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42"/>
      <c r="CV223" s="1642"/>
      <c r="CW223" s="1171" t="s">
        <v>850</v>
      </c>
      <c r="CX223" s="1176"/>
      <c r="CY223" s="1176"/>
      <c r="CZ223" s="1176"/>
      <c r="DA223" s="1177"/>
      <c r="DB223" s="1177"/>
    </row>
    <row s="1642" customFormat="1" customHeight="1" ht="16.5" hidden="1">
      <c r="A224" s="1498"/>
      <c r="B224" s="925"/>
      <c r="C224" s="1498"/>
      <c r="D224" s="1498"/>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98"/>
      <c r="S224" s="156" cm="1" t="str">
        <f t="array" ref="S224:S224">OFFSET(T224,-1,-1)</f>
        <v>true</v>
      </c>
      <c r="T224" s="156">
        <f>AD224&lt;&gt;"36.0"</f>
        <v>0</v>
      </c>
      <c r="U224" s="816">
        <f>AND(S224,IF(ISBLANK(T224),TRUE,T224))</f>
        <v>0</v>
      </c>
      <c r="V224" s="1498"/>
      <c r="W224" s="1498"/>
      <c r="X224" s="156" t="s">
        <v>235</v>
      </c>
      <c r="Y224" s="1498"/>
      <c r="Z224" s="1498"/>
      <c r="AA224" s="817"/>
      <c r="AB224" s="1461"/>
      <c r="AC224" s="1642"/>
      <c r="AD224" s="157" t="s">
        <v>851</v>
      </c>
      <c r="AE224" s="972"/>
      <c r="AF224" s="622"/>
      <c r="AG224" s="857" t="s">
        <v>799</v>
      </c>
      <c r="AH224" s="87"/>
      <c r="AI224" s="88"/>
      <c r="AJ224" s="88"/>
      <c r="AK224" s="88"/>
      <c r="AL224" s="860">
        <f>AM224+AN224</f>
        <v>0</v>
      </c>
      <c r="AM224" s="88">
        <f>AM220*AM175/1000</f>
        <v>0</v>
      </c>
      <c r="AN224" s="88">
        <f>AN220*AN175/1000</f>
        <v>0</v>
      </c>
      <c r="AO224" s="860">
        <f>AP224+AQ224</f>
        <v>0</v>
      </c>
      <c r="AP224" s="1806">
        <f>AP220*AP175/1000</f>
        <v>0</v>
      </c>
      <c r="AQ224" s="1806">
        <f>AQ220*AQ175/1000</f>
        <v>0</v>
      </c>
      <c r="AR224" s="860">
        <f>AS224+AT224</f>
        <v>0</v>
      </c>
      <c r="AS224" s="1806">
        <f>AS220*AS175/1000</f>
        <v>0</v>
      </c>
      <c r="AT224" s="1806">
        <f>AT220*AT175/1000</f>
        <v>0</v>
      </c>
      <c r="AU224" s="860">
        <f>AV224+AW224</f>
        <v>0</v>
      </c>
      <c r="AV224" s="88">
        <f>AV220*AV175/1000</f>
        <v>0</v>
      </c>
      <c r="AW224" s="88">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806">
        <f>BT220*BT175/1000</f>
        <v>0</v>
      </c>
      <c r="BU224" s="1806">
        <f>BU220*BU175/1000</f>
        <v>0</v>
      </c>
      <c r="BV224" s="860">
        <f>BW224+BX224</f>
        <v>0</v>
      </c>
      <c r="BW224" s="1806">
        <f>BW220*BW175/1000</f>
        <v>0</v>
      </c>
      <c r="BX224" s="1806">
        <f>BX220*BX175/1000</f>
        <v>0</v>
      </c>
      <c r="BY224" s="860">
        <f>BZ224+CA224</f>
        <v>0</v>
      </c>
      <c r="BZ224" s="88">
        <f>BZ220*BZ175/1000</f>
        <v>0</v>
      </c>
      <c r="CA224" s="88">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42"/>
      <c r="CV224" s="1642"/>
      <c r="CW224" s="1171" t="s">
        <v>850</v>
      </c>
      <c r="CX224" s="1176" t="s">
        <v>781</v>
      </c>
      <c r="CY224" s="1180" cm="1" t="str">
        <f t="array" ref="CY224:CY224">AE224</f>
        <v>0</v>
      </c>
      <c r="CZ224" s="1180" cm="1" t="str">
        <f t="array" ref="CZ224:CZ224">AF224</f>
        <v>0</v>
      </c>
      <c r="DA224" s="1177"/>
      <c r="DB224" s="1177"/>
    </row>
    <row s="1642" customFormat="1" customHeight="1" ht="15" hidden="1">
      <c r="A225" s="1498"/>
      <c r="B225" s="925"/>
      <c r="C225" s="1498"/>
      <c r="D225" s="1498"/>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98"/>
      <c r="S225" s="156" cm="1" t="str">
        <f t="array" ref="S225:S225">OFFSET(T225,-1,-1)</f>
        <v>true</v>
      </c>
      <c r="T225" s="1498"/>
      <c r="U225" s="816">
        <f>AND(S225,IF(ISBLANK(T225),TRUE,T225))</f>
        <v>1</v>
      </c>
      <c r="V225" s="1498"/>
      <c r="W225" s="1498"/>
      <c r="X225" s="971" t="str">
        <f>"{                  
         funcDyn: 'msg1',
         blok: 'blok_2',
         wsCross: 'Топливо 4.4',
         linkFormula: 'AE-AE#AF-AF',
         levelDyn: "&amp;Y139&amp;"
}"</f>
        <v>{                  
         funcDyn: 'msg1',
         blok: 'blok_2',
         wsCross: 'Топливо 4.4',
         linkFormula: 'AE-AE#AF-AF',
         levelDyn: 1
}</v>
      </c>
      <c r="Y225" s="1498"/>
      <c r="Z225" s="1498"/>
      <c r="AA225" s="817"/>
      <c r="AB225" s="1461"/>
      <c r="AC225" s="1642"/>
      <c r="AD225" s="974"/>
      <c r="AE225" s="973" t="s">
        <v>237</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42"/>
      <c r="CV225" s="1642"/>
      <c r="CW225" s="1171" t="str">
        <f>IF(AND(ISNUMBER(VALUE(TRIM(SUBSTITUTE(AD225,".","")))),TRIM(SUBSTITUTE(AD225,".",""))&lt;&gt;""),"P"&amp;SUBSTITUTE(AD225,".",""),"")</f>
        <v/>
      </c>
      <c r="CX225" s="1176"/>
      <c r="CY225" s="1176"/>
      <c r="CZ225" s="1176"/>
      <c r="DA225" s="1177"/>
      <c r="DB225" s="1177"/>
    </row>
    <row s="1642" customFormat="1" customHeight="1" ht="29.25" hidden="1">
      <c r="A226" s="1498"/>
      <c r="B226" s="925"/>
      <c r="C226" s="1498"/>
      <c r="D226" s="1498"/>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719</v>
      </c>
      <c r="S226" s="156" cm="1" t="str">
        <f t="array" ref="S226:S226">OFFSET(T226,-1,-1)</f>
        <v>true</v>
      </c>
      <c r="T226" s="156" cm="1" t="str">
        <f t="array" ref="T226:T226">L226</f>
        <v>false</v>
      </c>
      <c r="U226" s="816">
        <f>AND(S226,IF(ISBLANK(T226),TRUE,T226))</f>
        <v>0</v>
      </c>
      <c r="V226" s="1498"/>
      <c r="W226" s="1498"/>
      <c r="X226" s="1498"/>
      <c r="Y226" s="1498"/>
      <c r="Z226" s="1498"/>
      <c r="AA226" s="817"/>
      <c r="AB226" s="1461"/>
      <c r="AC226" s="1642"/>
      <c r="AD226" s="170" t="s">
        <v>852</v>
      </c>
      <c r="AE226" s="1478" t="s">
        <v>853</v>
      </c>
      <c r="AF226" s="160"/>
      <c r="AG226" s="857" t="s">
        <v>799</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42"/>
      <c r="CV226" s="1642"/>
      <c r="CW226" s="1171" t="s">
        <v>854</v>
      </c>
      <c r="CX226" s="1176"/>
      <c r="CY226" s="1176"/>
      <c r="CZ226" s="1176"/>
      <c r="DA226" s="1177"/>
      <c r="DB226" s="1177"/>
    </row>
    <row s="1642" customFormat="1" customHeight="1" ht="16.5" hidden="1">
      <c r="A227" s="1498"/>
      <c r="B227" s="925"/>
      <c r="C227" s="1498"/>
      <c r="D227" s="1498"/>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719</v>
      </c>
      <c r="S227" s="156" cm="1" t="str">
        <f t="array" ref="S227:S227">OFFSET(T227,-1,-1)</f>
        <v>true</v>
      </c>
      <c r="T227" s="156">
        <f>AND(L227,AD227&lt;&gt;"37.0")</f>
        <v>0</v>
      </c>
      <c r="U227" s="816">
        <f>AND(S227,IF(ISBLANK(T227),TRUE,T227))</f>
        <v>0</v>
      </c>
      <c r="V227" s="1498"/>
      <c r="W227" s="1498"/>
      <c r="X227" s="156" t="s">
        <v>235</v>
      </c>
      <c r="Y227" s="1498"/>
      <c r="Z227" s="1498"/>
      <c r="AA227" s="817"/>
      <c r="AB227" s="1461"/>
      <c r="AC227" s="1642"/>
      <c r="AD227" s="157" t="s">
        <v>855</v>
      </c>
      <c r="AE227" s="972"/>
      <c r="AF227" s="622"/>
      <c r="AG227" s="857" t="s">
        <v>799</v>
      </c>
      <c r="AH227" s="87">
        <f>AH$163*AH224</f>
        <v>0</v>
      </c>
      <c r="AI227" s="88">
        <f>AI$163*AI224</f>
        <v>0</v>
      </c>
      <c r="AJ227" s="88">
        <f>AJ$163*AJ224</f>
        <v>0</v>
      </c>
      <c r="AK227" s="88">
        <f>AK$163*AK224</f>
        <v>0</v>
      </c>
      <c r="AL227" s="860">
        <f>AM227+AN227</f>
        <v>0</v>
      </c>
      <c r="AM227" s="88">
        <f>AM$163*AM224</f>
        <v>0</v>
      </c>
      <c r="AN227" s="88">
        <f>AN$163*AN224</f>
        <v>0</v>
      </c>
      <c r="AO227" s="860">
        <f>AP227+AQ227</f>
        <v>0</v>
      </c>
      <c r="AP227" s="1806">
        <f>AP$163*AP224</f>
        <v>0</v>
      </c>
      <c r="AQ227" s="1806">
        <f>AQ$163*AQ224</f>
        <v>0</v>
      </c>
      <c r="AR227" s="860">
        <f>AS227+AT227</f>
        <v>0</v>
      </c>
      <c r="AS227" s="1806">
        <f>AS$163*AS224</f>
        <v>0</v>
      </c>
      <c r="AT227" s="1806">
        <f>AT$163*AT224</f>
        <v>0</v>
      </c>
      <c r="AU227" s="860">
        <f>AV227+AW227</f>
        <v>0</v>
      </c>
      <c r="AV227" s="88">
        <f>AV$163*AV224</f>
        <v>0</v>
      </c>
      <c r="AW227" s="88">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806">
        <f>BT$163*BT224</f>
        <v>0</v>
      </c>
      <c r="BU227" s="1806">
        <f>BU$163*BU224</f>
        <v>0</v>
      </c>
      <c r="BV227" s="860">
        <f>BW227+BX227</f>
        <v>0</v>
      </c>
      <c r="BW227" s="1806">
        <f>BW$163*BW224</f>
        <v>0</v>
      </c>
      <c r="BX227" s="1806">
        <f>BX$163*BX224</f>
        <v>0</v>
      </c>
      <c r="BY227" s="860">
        <f>BZ227+CA227</f>
        <v>0</v>
      </c>
      <c r="BZ227" s="88">
        <f>BZ$163*BZ224</f>
        <v>0</v>
      </c>
      <c r="CA227" s="88">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42"/>
      <c r="CV227" s="1642"/>
      <c r="CW227" s="1171" t="s">
        <v>854</v>
      </c>
      <c r="CX227" s="1176" t="s">
        <v>781</v>
      </c>
      <c r="CY227" s="1180" cm="1" t="str">
        <f t="array" ref="CY227:CY227">AE227</f>
        <v>0</v>
      </c>
      <c r="CZ227" s="1180" cm="1" t="str">
        <f t="array" ref="CZ227:CZ227">AF227</f>
        <v>0</v>
      </c>
      <c r="DA227" s="1177"/>
      <c r="DB227" s="1177"/>
    </row>
    <row s="1642" customFormat="1" customHeight="1" ht="15" hidden="1">
      <c r="A228" s="1498"/>
      <c r="B228" s="925"/>
      <c r="C228" s="1498"/>
      <c r="D228" s="1498"/>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98"/>
      <c r="S228" s="156" cm="1" t="str">
        <f t="array" ref="S228:S228">OFFSET(T228,-1,-1)</f>
        <v>true</v>
      </c>
      <c r="T228" s="1498"/>
      <c r="U228" s="816">
        <f>AND(S228,IF(ISBLANK(T228),TRUE,T228))</f>
        <v>1</v>
      </c>
      <c r="V228" s="1498"/>
      <c r="W228" s="1498"/>
      <c r="X228" s="971" t="str">
        <f>"{                  
         funcDyn: 'msg1',
         blok: 'blok_2',
         wsCross: 'Топливо 4.4',
         linkFormula: 'AE-AE#AF-AF',
         levelDyn: "&amp;Y139&amp;"
}"</f>
        <v>{                  
         funcDyn: 'msg1',
         blok: 'blok_2',
         wsCross: 'Топливо 4.4',
         linkFormula: 'AE-AE#AF-AF',
         levelDyn: 1
}</v>
      </c>
      <c r="Y228" s="1498"/>
      <c r="Z228" s="1498"/>
      <c r="AA228" s="817"/>
      <c r="AB228" s="1462"/>
      <c r="AC228" s="1642"/>
      <c r="AD228" s="974"/>
      <c r="AE228" s="973" t="s">
        <v>237</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42"/>
      <c r="CV228" s="1642"/>
      <c r="CW228" s="1171" t="str">
        <f>IF(AND(ISNUMBER(VALUE(TRIM(SUBSTITUTE(AD228,".","")))),TRIM(SUBSTITUTE(AD228,".",""))&lt;&gt;""),"P"&amp;SUBSTITUTE(AD228,".",""),"")</f>
        <v/>
      </c>
      <c r="CX228" s="1176"/>
      <c r="CY228" s="1176"/>
      <c r="CZ228" s="1176"/>
      <c r="DA228" s="1177"/>
      <c r="DB228" s="1177"/>
    </row>
    <row s="1642" customFormat="1" customHeight="1" ht="16.5">
      <c r="A229" s="1498"/>
      <c r="B229" s="925"/>
      <c r="C229" s="1498"/>
      <c r="D229" s="1498"/>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98"/>
      <c r="S229" s="156" cm="1" t="str">
        <f t="array" ref="S229:S229">OFFSET(T229,-1,-1)</f>
        <v>true</v>
      </c>
      <c r="T229" s="1498"/>
      <c r="U229" s="816">
        <f>AND(S229,IF(ISBLANK(T229),TRUE,T229))</f>
        <v>1</v>
      </c>
      <c r="V229" s="1498"/>
      <c r="W229" s="1498"/>
      <c r="X229" s="1498"/>
      <c r="Y229" s="1498"/>
      <c r="Z229" s="1498"/>
      <c r="AA229" s="817"/>
      <c r="AB229" s="1460" t="s">
        <v>856</v>
      </c>
      <c r="AC229" s="1642"/>
      <c r="AD229" s="170" t="s">
        <v>857</v>
      </c>
      <c r="AE229" s="1472" t="s">
        <v>858</v>
      </c>
      <c r="AF229" s="320"/>
      <c r="AG229" s="857" t="s">
        <v>799</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92"/>
      <c r="CU229" s="1642"/>
      <c r="CV229" s="1642"/>
      <c r="CW229" s="1171" t="s">
        <v>859</v>
      </c>
      <c r="CX229" s="1176"/>
      <c r="CY229" s="1176"/>
      <c r="CZ229" s="1176"/>
      <c r="DA229" s="1177"/>
      <c r="DB229" s="1177"/>
    </row>
    <row s="1642" customFormat="1" customHeight="1" ht="16.5" hidden="1">
      <c r="A230" s="1498"/>
      <c r="B230" s="925"/>
      <c r="C230" s="1498"/>
      <c r="D230" s="1498"/>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719</v>
      </c>
      <c r="S230" s="156" cm="1" t="str">
        <f t="array" ref="S230:S230">OFFSET(T230,-1,-1)</f>
        <v>true</v>
      </c>
      <c r="T230" s="920" t="b">
        <v>0</v>
      </c>
      <c r="U230" s="816">
        <f>AND(S230,IF(ISBLANK(T230),TRUE,T230))</f>
        <v>0</v>
      </c>
      <c r="V230" s="1498"/>
      <c r="W230" s="1498"/>
      <c r="X230" s="1498"/>
      <c r="Y230" s="1498"/>
      <c r="Z230" s="1498"/>
      <c r="AA230" s="817"/>
      <c r="AB230" s="1461"/>
      <c r="AC230" s="1642"/>
      <c r="AD230" s="157" t="str">
        <f>AD229&amp;".0"</f>
        <v>38.0</v>
      </c>
      <c r="AE230" s="1347" t="s">
        <v>730</v>
      </c>
      <c r="AF230" s="161"/>
      <c r="AG230" s="857" t="s">
        <v>799</v>
      </c>
      <c r="AH230" s="87">
        <f>AH$163*AH229</f>
        <v>0</v>
      </c>
      <c r="AI230" s="88">
        <f>AI$163*AI229</f>
        <v>0</v>
      </c>
      <c r="AJ230" s="88">
        <f>AJ$163*AJ229</f>
        <v>0</v>
      </c>
      <c r="AK230" s="88">
        <f>AK$163*AK229</f>
        <v>0</v>
      </c>
      <c r="AL230" s="860">
        <f>AM230+AN230</f>
        <v>0</v>
      </c>
      <c r="AM230" s="88">
        <f>AM$163*AM229</f>
        <v>0</v>
      </c>
      <c r="AN230" s="88">
        <f>AN$163*AN229</f>
        <v>0</v>
      </c>
      <c r="AO230" s="860">
        <f>AP230+AQ230</f>
        <v>0</v>
      </c>
      <c r="AP230" s="1806">
        <f>AP$163*AP229</f>
        <v>0</v>
      </c>
      <c r="AQ230" s="1806">
        <f>AQ$163*AQ229</f>
        <v>0</v>
      </c>
      <c r="AR230" s="860">
        <f>AS230+AT230</f>
        <v>0</v>
      </c>
      <c r="AS230" s="1806">
        <f>AS$163*AS229</f>
        <v>0</v>
      </c>
      <c r="AT230" s="1806">
        <f>AT$163*AT229</f>
        <v>0</v>
      </c>
      <c r="AU230" s="860">
        <f>AV230+AW230</f>
        <v>0</v>
      </c>
      <c r="AV230" s="88">
        <f>AV$163*AV229</f>
        <v>0</v>
      </c>
      <c r="AW230" s="88">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806">
        <f>BT$163*BT229</f>
        <v>0</v>
      </c>
      <c r="BU230" s="1806">
        <f>BU$163*BU229</f>
        <v>0</v>
      </c>
      <c r="BV230" s="860">
        <f>BW230+BX230</f>
        <v>0</v>
      </c>
      <c r="BW230" s="1806">
        <f>BW$163*BW229</f>
        <v>0</v>
      </c>
      <c r="BX230" s="1806">
        <f>BX$163*BX229</f>
        <v>0</v>
      </c>
      <c r="BY230" s="860">
        <f>BZ230+CA230</f>
        <v>0</v>
      </c>
      <c r="BZ230" s="88">
        <f>BZ$163*BZ229</f>
        <v>0</v>
      </c>
      <c r="CA230" s="88">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42"/>
      <c r="CV230" s="1642"/>
      <c r="CW230" s="1171" t="s">
        <v>860</v>
      </c>
      <c r="CX230" s="1176"/>
      <c r="CY230" s="1176"/>
      <c r="CZ230" s="1176"/>
      <c r="DA230" s="1177"/>
      <c r="DB230" s="1177"/>
    </row>
    <row s="1642" customFormat="1" customHeight="1" ht="16.5" hidden="1">
      <c r="A231" s="1498"/>
      <c r="B231" s="925"/>
      <c r="C231" s="1498"/>
      <c r="D231" s="1498"/>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98"/>
      <c r="S231" s="156" cm="1" t="str">
        <f t="array" ref="S231:S231">OFFSET(T231,-1,-1)</f>
        <v>true</v>
      </c>
      <c r="T231" s="156">
        <f>AD231&lt;&gt;"38.0"</f>
        <v>0</v>
      </c>
      <c r="U231" s="816">
        <f>AND(S231,IF(ISBLANK(T231),TRUE,T231))</f>
        <v>0</v>
      </c>
      <c r="V231" s="1498"/>
      <c r="W231" s="1498"/>
      <c r="X231" s="156" t="s">
        <v>235</v>
      </c>
      <c r="Y231" s="1498"/>
      <c r="Z231" s="1498"/>
      <c r="AA231" s="817"/>
      <c r="AB231" s="1461"/>
      <c r="AC231" s="1642"/>
      <c r="AD231" s="157" t="s">
        <v>861</v>
      </c>
      <c r="AE231" s="972"/>
      <c r="AF231" s="622"/>
      <c r="AG231" s="857" t="s">
        <v>799</v>
      </c>
      <c r="AH231" s="87"/>
      <c r="AI231" s="88"/>
      <c r="AJ231" s="88"/>
      <c r="AK231" s="88"/>
      <c r="AL231" s="860">
        <f>AM231+AN231</f>
        <v>0</v>
      </c>
      <c r="AM231" s="88"/>
      <c r="AN231" s="88"/>
      <c r="AO231" s="860">
        <f>AP231+AQ231</f>
        <v>0</v>
      </c>
      <c r="AP231" s="1806"/>
      <c r="AQ231" s="1806"/>
      <c r="AR231" s="860">
        <f>AS231+AT231</f>
        <v>0</v>
      </c>
      <c r="AS231" s="1806"/>
      <c r="AT231" s="1806"/>
      <c r="AU231" s="860">
        <f>AV231+AW231</f>
        <v>0</v>
      </c>
      <c r="AV231" s="88"/>
      <c r="AW231" s="88"/>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806"/>
      <c r="BU231" s="1806"/>
      <c r="BV231" s="860">
        <f>BW231+BX231</f>
        <v>0</v>
      </c>
      <c r="BW231" s="1806"/>
      <c r="BX231" s="1806"/>
      <c r="BY231" s="860">
        <f>BZ231+CA231</f>
        <v>0</v>
      </c>
      <c r="BZ231" s="88"/>
      <c r="CA231" s="88"/>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42"/>
      <c r="CV231" s="1642"/>
      <c r="CW231" s="1171" t="s">
        <v>860</v>
      </c>
      <c r="CX231" s="1176" t="s">
        <v>781</v>
      </c>
      <c r="CY231" s="1180" cm="1" t="str">
        <f t="array" ref="CY231:CY231">AE231</f>
        <v>0</v>
      </c>
      <c r="CZ231" s="1180" cm="1" t="str">
        <f t="array" ref="CZ231:CZ231">AF231</f>
        <v>0</v>
      </c>
      <c r="DA231" s="1177"/>
      <c r="DB231" s="1177"/>
    </row>
    <row s="1642" customFormat="1" customHeight="1" ht="15" hidden="1">
      <c r="A232" s="1498"/>
      <c r="B232" s="925"/>
      <c r="C232" s="1498"/>
      <c r="D232" s="1498"/>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98"/>
      <c r="S232" s="156" cm="1" t="str">
        <f t="array" ref="S232:S232">OFFSET(T232,-1,-1)</f>
        <v>true</v>
      </c>
      <c r="T232" s="1498"/>
      <c r="U232" s="816">
        <f>AND(S232,IF(ISBLANK(T232),TRUE,T232))</f>
        <v>1</v>
      </c>
      <c r="V232" s="1498"/>
      <c r="W232" s="1498"/>
      <c r="X232" s="971" t="str">
        <f>"{                  
         funcDyn: 'msg1',
         blok: 'blok_2',
         wsCross: 'Топливо 4.4',
         linkFormula: 'AE-AE#AF-AF',
         levelDyn: "&amp;Y139&amp;"
}"</f>
        <v>{                  
         funcDyn: 'msg1',
         blok: 'blok_2',
         wsCross: 'Топливо 4.4',
         linkFormula: 'AE-AE#AF-AF',
         levelDyn: 1
}</v>
      </c>
      <c r="Y232" s="1498"/>
      <c r="Z232" s="1498"/>
      <c r="AA232" s="817"/>
      <c r="AB232" s="1461"/>
      <c r="AC232" s="1642"/>
      <c r="AD232" s="974"/>
      <c r="AE232" s="973" t="s">
        <v>237</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42"/>
      <c r="CV232" s="1642"/>
      <c r="CW232" s="1171" t="str">
        <f>IF(AND(ISNUMBER(VALUE(TRIM(SUBSTITUTE(AD232,".","")))),TRIM(SUBSTITUTE(AD232,".",""))&lt;&gt;""),"P"&amp;SUBSTITUTE(AD232,".",""),"")</f>
        <v/>
      </c>
      <c r="CX232" s="1176"/>
      <c r="CY232" s="1176"/>
      <c r="CZ232" s="1176"/>
      <c r="DA232" s="1177"/>
      <c r="DB232" s="1177"/>
    </row>
    <row s="1642" customFormat="1" customHeight="1" ht="29.25" hidden="1">
      <c r="A233" s="1498"/>
      <c r="B233" s="925"/>
      <c r="C233" s="1498"/>
      <c r="D233" s="1498"/>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719</v>
      </c>
      <c r="S233" s="156" cm="1" t="str">
        <f t="array" ref="S233:S233">OFFSET(T233,-1,-1)</f>
        <v>true</v>
      </c>
      <c r="T233" s="156" cm="1" t="str">
        <f t="array" ref="T233:T233">L233</f>
        <v>false</v>
      </c>
      <c r="U233" s="816">
        <f>AND(S233,IF(ISBLANK(T233),TRUE,T233))</f>
        <v>0</v>
      </c>
      <c r="V233" s="1498"/>
      <c r="W233" s="1498"/>
      <c r="X233" s="1498"/>
      <c r="Y233" s="1498"/>
      <c r="Z233" s="1498"/>
      <c r="AA233" s="817"/>
      <c r="AB233" s="1461"/>
      <c r="AC233" s="1642"/>
      <c r="AD233" s="170" t="s">
        <v>862</v>
      </c>
      <c r="AE233" s="1478" t="s">
        <v>863</v>
      </c>
      <c r="AF233" s="160"/>
      <c r="AG233" s="857" t="s">
        <v>799</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42"/>
      <c r="CV233" s="1642"/>
      <c r="CW233" s="1171" t="s">
        <v>864</v>
      </c>
      <c r="CX233" s="1176"/>
      <c r="CY233" s="1176"/>
      <c r="CZ233" s="1176"/>
      <c r="DA233" s="1177"/>
      <c r="DB233" s="1177"/>
    </row>
    <row s="1642" customFormat="1" customHeight="1" ht="16.5" hidden="1">
      <c r="A234" s="1498"/>
      <c r="B234" s="925"/>
      <c r="C234" s="1498"/>
      <c r="D234" s="1498"/>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719</v>
      </c>
      <c r="S234" s="156" cm="1" t="str">
        <f t="array" ref="S234:S234">OFFSET(T234,-1,-1)</f>
        <v>true</v>
      </c>
      <c r="T234" s="156">
        <f>AND(L234,AD234&lt;&gt;"39.0")</f>
        <v>0</v>
      </c>
      <c r="U234" s="816">
        <f>AND(S234,IF(ISBLANK(T234),TRUE,T234))</f>
        <v>0</v>
      </c>
      <c r="V234" s="1498"/>
      <c r="W234" s="1498"/>
      <c r="X234" s="156" t="s">
        <v>235</v>
      </c>
      <c r="Y234" s="1498"/>
      <c r="Z234" s="1498"/>
      <c r="AA234" s="817"/>
      <c r="AB234" s="1461"/>
      <c r="AC234" s="1642"/>
      <c r="AD234" s="157" t="s">
        <v>865</v>
      </c>
      <c r="AE234" s="972"/>
      <c r="AF234" s="622"/>
      <c r="AG234" s="857" t="s">
        <v>799</v>
      </c>
      <c r="AH234" s="87">
        <f>AH$163*AH231</f>
        <v>0</v>
      </c>
      <c r="AI234" s="88">
        <f>AI$163*AI231</f>
        <v>0</v>
      </c>
      <c r="AJ234" s="88">
        <f>AJ$163*AJ231</f>
        <v>0</v>
      </c>
      <c r="AK234" s="88">
        <f>AK$163*AK231</f>
        <v>0</v>
      </c>
      <c r="AL234" s="860">
        <f>AM234+AN234</f>
        <v>0</v>
      </c>
      <c r="AM234" s="88">
        <f>AM$163*AM231</f>
        <v>0</v>
      </c>
      <c r="AN234" s="88">
        <f>AN$163*AN231</f>
        <v>0</v>
      </c>
      <c r="AO234" s="860">
        <f>AP234+AQ234</f>
        <v>0</v>
      </c>
      <c r="AP234" s="1806">
        <f>AP$163*AP231</f>
        <v>0</v>
      </c>
      <c r="AQ234" s="1806">
        <f>AQ$163*AQ231</f>
        <v>0</v>
      </c>
      <c r="AR234" s="860">
        <f>AS234+AT234</f>
        <v>0</v>
      </c>
      <c r="AS234" s="1806">
        <f>AS$163*AS231</f>
        <v>0</v>
      </c>
      <c r="AT234" s="1806">
        <f>AT$163*AT231</f>
        <v>0</v>
      </c>
      <c r="AU234" s="860">
        <f>AV234+AW234</f>
        <v>0</v>
      </c>
      <c r="AV234" s="88">
        <f>AV$163*AV231</f>
        <v>0</v>
      </c>
      <c r="AW234" s="88">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806">
        <f>BT$163*BT231</f>
        <v>0</v>
      </c>
      <c r="BU234" s="1806">
        <f>BU$163*BU231</f>
        <v>0</v>
      </c>
      <c r="BV234" s="860">
        <f>BW234+BX234</f>
        <v>0</v>
      </c>
      <c r="BW234" s="1806">
        <f>BW$163*BW231</f>
        <v>0</v>
      </c>
      <c r="BX234" s="1806">
        <f>BX$163*BX231</f>
        <v>0</v>
      </c>
      <c r="BY234" s="860">
        <f>BZ234+CA234</f>
        <v>0</v>
      </c>
      <c r="BZ234" s="88">
        <f>BZ$163*BZ231</f>
        <v>0</v>
      </c>
      <c r="CA234" s="88">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42"/>
      <c r="CV234" s="1642"/>
      <c r="CW234" s="1171" t="s">
        <v>864</v>
      </c>
      <c r="CX234" s="1176" t="s">
        <v>781</v>
      </c>
      <c r="CY234" s="1180" cm="1" t="str">
        <f t="array" ref="CY234:CY234">AE234</f>
        <v>0</v>
      </c>
      <c r="CZ234" s="1180" cm="1" t="str">
        <f t="array" ref="CZ234:CZ234">AF234</f>
        <v>0</v>
      </c>
      <c r="DA234" s="1177"/>
      <c r="DB234" s="1177"/>
    </row>
    <row s="1642" customFormat="1" customHeight="1" ht="15" hidden="1">
      <c r="A235" s="1498"/>
      <c r="B235" s="925"/>
      <c r="C235" s="1498"/>
      <c r="D235" s="1498"/>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98"/>
      <c r="S235" s="156" cm="1" t="str">
        <f t="array" ref="S235:S235">OFFSET(T235,-1,-1)</f>
        <v>true</v>
      </c>
      <c r="T235" s="1498"/>
      <c r="U235" s="816">
        <f>AND(S235,IF(ISBLANK(T235),TRUE,T235))</f>
        <v>1</v>
      </c>
      <c r="V235" s="1498"/>
      <c r="W235" s="1498"/>
      <c r="X235" s="971" t="str">
        <f>"{                  
         funcDyn: 'msg1',
         blok: 'blok_2',
         wsCross: 'Топливо 4.4',
         linkFormula: 'AE-AE#AF-AF',
         levelDyn: "&amp;Y139&amp;"
}"</f>
        <v>{                  
         funcDyn: 'msg1',
         blok: 'blok_2',
         wsCross: 'Топливо 4.4',
         linkFormula: 'AE-AE#AF-AF',
         levelDyn: 1
}</v>
      </c>
      <c r="Y235" s="1498"/>
      <c r="Z235" s="1498"/>
      <c r="AA235" s="817"/>
      <c r="AB235" s="1462"/>
      <c r="AC235" s="1642"/>
      <c r="AD235" s="974"/>
      <c r="AE235" s="973" t="s">
        <v>237</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42"/>
      <c r="CV235" s="1642"/>
      <c r="CW235" s="1171" t="str">
        <f>IF(AND(ISNUMBER(VALUE(TRIM(SUBSTITUTE(AD235,".","")))),TRIM(SUBSTITUTE(AD235,".",""))&lt;&gt;""),"P"&amp;SUBSTITUTE(AD235,".",""),"")</f>
        <v/>
      </c>
      <c r="CX235" s="1176"/>
      <c r="CY235" s="1176"/>
      <c r="CZ235" s="1176"/>
      <c r="DA235" s="1177"/>
      <c r="DB235" s="1177"/>
    </row>
    <row s="1642" customFormat="1" customHeight="1" ht="16.5">
      <c r="A236" s="1498"/>
      <c r="B236" s="925"/>
      <c r="C236" s="1498"/>
      <c r="D236" s="1498"/>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98"/>
      <c r="S236" s="156" cm="1" t="str">
        <f t="array" ref="S236:S236">OFFSET(T236,-1,-1)</f>
        <v>true</v>
      </c>
      <c r="T236" s="1498"/>
      <c r="U236" s="816">
        <f>AND(S236,IF(ISBLANK(T236),TRUE,T236))</f>
        <v>1</v>
      </c>
      <c r="V236" s="1498"/>
      <c r="W236" s="1498"/>
      <c r="X236" s="1498"/>
      <c r="Y236" s="1498"/>
      <c r="Z236" s="1498"/>
      <c r="AA236" s="817"/>
      <c r="AB236" s="1503" t="s">
        <v>866</v>
      </c>
      <c r="AC236" s="1642"/>
      <c r="AD236" s="170" t="s">
        <v>867</v>
      </c>
      <c r="AE236" s="1478" t="s">
        <v>868</v>
      </c>
      <c r="AF236" s="160"/>
      <c r="AG236" s="857" t="s">
        <v>799</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92"/>
      <c r="CU236" s="1642"/>
      <c r="CV236" s="1642"/>
      <c r="CW236" s="1171" t="s">
        <v>869</v>
      </c>
      <c r="CX236" s="1176"/>
      <c r="CY236" s="1176"/>
      <c r="CZ236" s="1176"/>
      <c r="DA236" s="1177"/>
      <c r="DB236" s="1177"/>
    </row>
    <row s="1642" customFormat="1" customHeight="1" ht="16.5" hidden="1">
      <c r="A237" s="1498"/>
      <c r="B237" s="925"/>
      <c r="C237" s="1498"/>
      <c r="D237" s="1498"/>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719</v>
      </c>
      <c r="S237" s="156" cm="1" t="str">
        <f t="array" ref="S237:S237">OFFSET(T237,-1,-1)</f>
        <v>true</v>
      </c>
      <c r="T237" s="156" cm="1" t="str">
        <f t="array" ref="T237:T237">L237</f>
        <v>false</v>
      </c>
      <c r="U237" s="816">
        <f>AND(S237,IF(ISBLANK(T237),TRUE,T237))</f>
        <v>0</v>
      </c>
      <c r="V237" s="1498"/>
      <c r="W237" s="1498"/>
      <c r="X237" s="1498"/>
      <c r="Y237" s="1498"/>
      <c r="Z237" s="1498"/>
      <c r="AA237" s="817"/>
      <c r="AB237" s="1504"/>
      <c r="AC237" s="1642"/>
      <c r="AD237" s="157" t="str">
        <f>AD236&amp;".0"</f>
        <v>40.0</v>
      </c>
      <c r="AE237" s="1480" t="s">
        <v>730</v>
      </c>
      <c r="AF237" s="1481"/>
      <c r="AG237" s="857" t="s">
        <v>799</v>
      </c>
      <c r="AH237" s="87">
        <f>AH$163*AH236</f>
        <v>0</v>
      </c>
      <c r="AI237" s="88">
        <f>AI$163*AI236</f>
        <v>0</v>
      </c>
      <c r="AJ237" s="88">
        <f>AJ$163*AJ236</f>
        <v>0</v>
      </c>
      <c r="AK237" s="88">
        <f>AK$163*AK236</f>
        <v>0</v>
      </c>
      <c r="AL237" s="860">
        <f>AM237+AN237</f>
        <v>0</v>
      </c>
      <c r="AM237" s="88">
        <f>AM$163*AM236</f>
        <v>0</v>
      </c>
      <c r="AN237" s="88">
        <f>AN$163*AN236</f>
        <v>0</v>
      </c>
      <c r="AO237" s="860">
        <f>AP237+AQ237</f>
        <v>0</v>
      </c>
      <c r="AP237" s="1806">
        <f>AP$163*AP236</f>
        <v>0</v>
      </c>
      <c r="AQ237" s="1806">
        <f>AQ$163*AQ236</f>
        <v>0</v>
      </c>
      <c r="AR237" s="860">
        <f>AS237+AT237</f>
        <v>0</v>
      </c>
      <c r="AS237" s="1806">
        <f>AS$163*AS236</f>
        <v>0</v>
      </c>
      <c r="AT237" s="1806">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806">
        <f>BT$163*BT236</f>
        <v>0</v>
      </c>
      <c r="BU237" s="1806">
        <f>BU$163*BU236</f>
        <v>0</v>
      </c>
      <c r="BV237" s="860">
        <f>BW237+BX237</f>
        <v>0</v>
      </c>
      <c r="BW237" s="1806">
        <f>BW$163*BW236</f>
        <v>0</v>
      </c>
      <c r="BX237" s="1806">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42"/>
      <c r="CV237" s="1642"/>
      <c r="CW237" s="1171" t="s">
        <v>870</v>
      </c>
      <c r="CX237" s="1176"/>
      <c r="CY237" s="1176"/>
      <c r="CZ237" s="1176"/>
      <c r="DA237" s="1177"/>
      <c r="DB237" s="1177"/>
    </row>
    <row s="1642" customFormat="1" customHeight="1" ht="16.5">
      <c r="A238" s="1498"/>
      <c r="B238" s="925"/>
      <c r="C238" s="1498"/>
      <c r="D238" s="1498"/>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98"/>
      <c r="S238" s="156" cm="1" t="str">
        <f t="array" ref="S238:S238">OFFSET(T238,-1,-1)</f>
        <v>true</v>
      </c>
      <c r="T238" s="1498"/>
      <c r="U238" s="816">
        <f>AND(S238,IF(ISBLANK(T238),TRUE,T238))</f>
        <v>1</v>
      </c>
      <c r="V238" s="1498"/>
      <c r="W238" s="1498"/>
      <c r="X238" s="1498"/>
      <c r="Y238" s="1498"/>
      <c r="Z238" s="1498"/>
      <c r="AA238" s="817"/>
      <c r="AB238" s="1504"/>
      <c r="AC238" s="1642"/>
      <c r="AD238" s="975" t="s">
        <v>871</v>
      </c>
      <c r="AE238" s="1482" t="s">
        <v>589</v>
      </c>
      <c r="AF238" s="1483"/>
      <c r="AG238" s="1011" t="s">
        <v>799</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92"/>
      <c r="CU238" s="1642"/>
      <c r="CV238" s="1642"/>
      <c r="CW238" s="1171" t="s">
        <v>872</v>
      </c>
      <c r="CX238" s="1176"/>
      <c r="CY238" s="1176"/>
      <c r="CZ238" s="1176"/>
      <c r="DA238" s="1177"/>
      <c r="DB238" s="1177"/>
    </row>
    <row s="1642" customFormat="1" customHeight="1" ht="16.5">
      <c r="A239" s="1498"/>
      <c r="B239" s="925"/>
      <c r="C239" s="1498"/>
      <c r="D239" s="1498"/>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98"/>
      <c r="S239" s="156" cm="1" t="str">
        <f t="array" ref="S239:S239">OFFSET(T239,-1,-1)</f>
        <v>true</v>
      </c>
      <c r="T239" s="1498"/>
      <c r="U239" s="816">
        <f>AND(S239,IF(ISBLANK(T239),TRUE,T239))</f>
        <v>1</v>
      </c>
      <c r="V239" s="1498"/>
      <c r="W239" s="1498"/>
      <c r="X239" s="1498"/>
      <c r="Y239" s="1498"/>
      <c r="Z239" s="1498"/>
      <c r="AA239" s="817"/>
      <c r="AB239" s="1504"/>
      <c r="AC239" s="1642"/>
      <c r="AD239" s="975" t="s">
        <v>873</v>
      </c>
      <c r="AE239" s="1482" t="s">
        <v>591</v>
      </c>
      <c r="AF239" s="1483"/>
      <c r="AG239" s="1011" t="s">
        <v>799</v>
      </c>
      <c r="AH239" s="1829"/>
      <c r="AI239" s="1829"/>
      <c r="AJ239" s="1829"/>
      <c r="AK239" s="1829"/>
      <c r="AL239" s="1829"/>
      <c r="AM239" s="1829"/>
      <c r="AN239" s="1829"/>
      <c r="AO239" s="1821"/>
      <c r="AP239" s="1821"/>
      <c r="AQ239" s="1821"/>
      <c r="AR239" s="1821"/>
      <c r="AS239" s="1821"/>
      <c r="AT239" s="1821"/>
      <c r="AU239" s="1829"/>
      <c r="AV239" s="1829"/>
      <c r="AW239" s="1829"/>
      <c r="AX239" s="1829"/>
      <c r="AY239" s="1829"/>
      <c r="AZ239" s="1829"/>
      <c r="BA239" s="1829"/>
      <c r="BB239" s="1829"/>
      <c r="BC239" s="1829"/>
      <c r="BD239" s="1829"/>
      <c r="BE239" s="1829"/>
      <c r="BF239" s="1829"/>
      <c r="BG239" s="1829"/>
      <c r="BH239" s="1829"/>
      <c r="BI239" s="1829"/>
      <c r="BJ239" s="1829"/>
      <c r="BK239" s="1829"/>
      <c r="BL239" s="1829"/>
      <c r="BM239" s="1829"/>
      <c r="BN239" s="1829"/>
      <c r="BO239" s="1829"/>
      <c r="BP239" s="983"/>
      <c r="BQ239" s="983"/>
      <c r="BR239" s="983"/>
      <c r="BS239" s="1821"/>
      <c r="BT239" s="1821"/>
      <c r="BU239" s="1821"/>
      <c r="BV239" s="1821"/>
      <c r="BW239" s="1821"/>
      <c r="BX239" s="1821"/>
      <c r="BY239" s="1829"/>
      <c r="BZ239" s="1829"/>
      <c r="CA239" s="1829"/>
      <c r="CB239" s="1829"/>
      <c r="CC239" s="1829"/>
      <c r="CD239" s="1829"/>
      <c r="CE239" s="1829"/>
      <c r="CF239" s="1829"/>
      <c r="CG239" s="1829"/>
      <c r="CH239" s="1829"/>
      <c r="CI239" s="1829"/>
      <c r="CJ239" s="1829"/>
      <c r="CK239" s="1829"/>
      <c r="CL239" s="1829"/>
      <c r="CM239" s="1829"/>
      <c r="CN239" s="1829"/>
      <c r="CO239" s="1829"/>
      <c r="CP239" s="1829"/>
      <c r="CQ239" s="1829"/>
      <c r="CR239" s="1829"/>
      <c r="CS239" s="1829"/>
      <c r="CT239" s="1792"/>
      <c r="CU239" s="1642"/>
      <c r="CV239" s="1642"/>
      <c r="CW239" s="1171" t="s">
        <v>874</v>
      </c>
      <c r="CX239" s="1176"/>
      <c r="CY239" s="1176"/>
      <c r="CZ239" s="1176"/>
      <c r="DA239" s="1177"/>
      <c r="DB239" s="1177"/>
    </row>
    <row s="1642" customFormat="1" customHeight="1" ht="16.5" hidden="1">
      <c r="A240" s="1498"/>
      <c r="B240" s="925"/>
      <c r="C240" s="1498"/>
      <c r="D240" s="1498"/>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98"/>
      <c r="S240" s="156" cm="1" t="str">
        <f t="array" ref="S240:S240">OFFSET(T240,-1,-1)</f>
        <v>true</v>
      </c>
      <c r="T240" s="156">
        <f>AD240&lt;&gt;"40.0"</f>
        <v>0</v>
      </c>
      <c r="U240" s="816">
        <f>AND(S240,IF(ISBLANK(T240),TRUE,T240))</f>
        <v>0</v>
      </c>
      <c r="V240" s="1498"/>
      <c r="W240" s="1498"/>
      <c r="X240" s="156" t="s">
        <v>235</v>
      </c>
      <c r="Y240" s="1498"/>
      <c r="Z240" s="1498"/>
      <c r="AA240" s="817"/>
      <c r="AB240" s="1504"/>
      <c r="AC240" s="1642"/>
      <c r="AD240" s="157" t="s">
        <v>875</v>
      </c>
      <c r="AE240" s="972"/>
      <c r="AF240" s="622"/>
      <c r="AG240" s="857" t="s">
        <v>799</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42"/>
      <c r="CV240" s="1642"/>
      <c r="CW240" s="1171" t="s">
        <v>876</v>
      </c>
      <c r="CX240" s="1176" t="s">
        <v>781</v>
      </c>
      <c r="CY240" s="1180" cm="1" t="str">
        <f t="array" ref="CY240:CY240">AE240</f>
        <v>0</v>
      </c>
      <c r="CZ240" s="1180" cm="1" t="str">
        <f t="array" ref="CZ240:CZ240">AF240</f>
        <v>0</v>
      </c>
      <c r="DA240" s="1177"/>
      <c r="DB240" s="1177"/>
    </row>
    <row s="1642" customFormat="1" customHeight="1" ht="15" hidden="1">
      <c r="A241" s="1498"/>
      <c r="B241" s="925"/>
      <c r="C241" s="1498"/>
      <c r="D241" s="1498"/>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98"/>
      <c r="S241" s="156" cm="1" t="str">
        <f t="array" ref="S241:S241">OFFSET(T241,-1,-1)</f>
        <v>true</v>
      </c>
      <c r="T241" s="1498"/>
      <c r="U241" s="816">
        <f>AND(S241,IF(ISBLANK(T241),TRUE,T241))</f>
        <v>1</v>
      </c>
      <c r="V241" s="1498"/>
      <c r="W241" s="1498"/>
      <c r="X241" s="971" t="str">
        <f>"{                  
         funcDyn: 'msg1',
         blok: 'blok_2',
         wsCross: 'Топливо 4.4',
         linkFormula: 'AE-AE#AF-AF',
         levelDyn: "&amp;Y139&amp;"
}"</f>
        <v>{                  
         funcDyn: 'msg1',
         blok: 'blok_2',
         wsCross: 'Топливо 4.4',
         linkFormula: 'AE-AE#AF-AF',
         levelDyn: 1
}</v>
      </c>
      <c r="Y241" s="1498"/>
      <c r="Z241" s="1498"/>
      <c r="AA241" s="817"/>
      <c r="AB241" s="1504"/>
      <c r="AC241" s="1642"/>
      <c r="AD241" s="974"/>
      <c r="AE241" s="973" t="s">
        <v>237</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42"/>
      <c r="CV241" s="1642"/>
      <c r="CW241" s="1171" t="str">
        <f>IF(AND(ISNUMBER(VALUE(TRIM(SUBSTITUTE(AD241,".","")))),TRIM(SUBSTITUTE(AD241,".",""))&lt;&gt;""),"P"&amp;SUBSTITUTE(AD241,".",""),"")</f>
        <v/>
      </c>
      <c r="CX241" s="1176"/>
      <c r="CY241" s="1176"/>
      <c r="CZ241" s="1176"/>
      <c r="DA241" s="1177"/>
      <c r="DB241" s="1177"/>
    </row>
    <row s="1642" customFormat="1" customHeight="1" ht="16.5">
      <c r="A242" s="1498"/>
      <c r="B242" s="925"/>
      <c r="C242" s="1498"/>
      <c r="D242" s="1498"/>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98"/>
      <c r="S242" s="156" cm="1" t="str">
        <f t="array" ref="S242:S242">OFFSET(T242,-1,-1)</f>
        <v>true</v>
      </c>
      <c r="T242" s="1498"/>
      <c r="U242" s="816">
        <f>AND(S242,IF(ISBLANK(T242),TRUE,T242))</f>
        <v>1</v>
      </c>
      <c r="V242" s="1498"/>
      <c r="W242" s="1498"/>
      <c r="X242" s="1498"/>
      <c r="Y242" s="1498"/>
      <c r="Z242" s="1498"/>
      <c r="AA242" s="817"/>
      <c r="AB242" s="1504"/>
      <c r="AC242" s="1642"/>
      <c r="AD242" s="170" t="s">
        <v>877</v>
      </c>
      <c r="AE242" s="1472" t="s">
        <v>878</v>
      </c>
      <c r="AF242" s="320"/>
      <c r="AG242" s="857" t="s">
        <v>879</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92"/>
      <c r="CU242" s="1642"/>
      <c r="CV242" s="1642"/>
      <c r="CW242" s="1171" t="s">
        <v>880</v>
      </c>
      <c r="CX242" s="1176"/>
      <c r="CY242" s="1176"/>
      <c r="CZ242" s="1176"/>
      <c r="DA242" s="1177"/>
      <c r="DB242" s="1177"/>
    </row>
    <row s="1642" customFormat="1" customHeight="1" ht="16.5" hidden="1">
      <c r="A243" s="1498"/>
      <c r="B243" s="925"/>
      <c r="C243" s="1498"/>
      <c r="D243" s="1498"/>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719</v>
      </c>
      <c r="S243" s="156" cm="1" t="str">
        <f t="array" ref="S243:S243">OFFSET(T243,-1,-1)</f>
        <v>true</v>
      </c>
      <c r="T243" s="156" cm="1" t="str">
        <f t="array" ref="T243:T243">L243</f>
        <v>false</v>
      </c>
      <c r="U243" s="816">
        <f>AND(S243,IF(ISBLANK(T243),TRUE,T243))</f>
        <v>0</v>
      </c>
      <c r="V243" s="1498"/>
      <c r="W243" s="1498"/>
      <c r="X243" s="1498"/>
      <c r="Y243" s="1498"/>
      <c r="Z243" s="1498"/>
      <c r="AA243" s="817"/>
      <c r="AB243" s="1504"/>
      <c r="AC243" s="1642"/>
      <c r="AD243" s="157" t="str">
        <f>AD242&amp;".0"</f>
        <v>41.0</v>
      </c>
      <c r="AE243" s="1347" t="s">
        <v>730</v>
      </c>
      <c r="AF243" s="161"/>
      <c r="AG243" s="857" t="s">
        <v>879</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42"/>
      <c r="CV243" s="1642"/>
      <c r="CW243" s="1171" t="s">
        <v>881</v>
      </c>
      <c r="CX243" s="1176"/>
      <c r="CY243" s="1176"/>
      <c r="CZ243" s="1176"/>
      <c r="DA243" s="1177"/>
      <c r="DB243" s="1177"/>
    </row>
    <row s="1642" customFormat="1" customHeight="1" ht="16.5" hidden="1">
      <c r="A244" s="1498"/>
      <c r="B244" s="925"/>
      <c r="C244" s="1498"/>
      <c r="D244" s="1498"/>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98"/>
      <c r="S244" s="156" cm="1" t="str">
        <f t="array" ref="S244:S244">OFFSET(T244,-1,-1)</f>
        <v>true</v>
      </c>
      <c r="T244" s="156">
        <f>AD244&lt;&gt;"41.0"</f>
        <v>0</v>
      </c>
      <c r="U244" s="816">
        <f>AND(S244,IF(ISBLANK(T244),TRUE,T244))</f>
        <v>0</v>
      </c>
      <c r="V244" s="1498"/>
      <c r="W244" s="1498"/>
      <c r="X244" s="156" t="s">
        <v>235</v>
      </c>
      <c r="Y244" s="1498"/>
      <c r="Z244" s="1498"/>
      <c r="AA244" s="817"/>
      <c r="AB244" s="1504"/>
      <c r="AC244" s="1642"/>
      <c r="AD244" s="157" t="s">
        <v>882</v>
      </c>
      <c r="AE244" s="972"/>
      <c r="AF244" s="622"/>
      <c r="AG244" s="857" t="s">
        <v>879</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42"/>
      <c r="CV244" s="1642"/>
      <c r="CW244" s="1171" t="s">
        <v>881</v>
      </c>
      <c r="CX244" s="1176" t="s">
        <v>781</v>
      </c>
      <c r="CY244" s="1180" cm="1" t="str">
        <f t="array" ref="CY244:CY244">AE244</f>
        <v>0</v>
      </c>
      <c r="CZ244" s="1180" cm="1" t="str">
        <f t="array" ref="CZ244:CZ244">AF244</f>
        <v>0</v>
      </c>
      <c r="DA244" s="1177"/>
      <c r="DB244" s="1177"/>
    </row>
    <row s="1642" customFormat="1" customHeight="1" ht="15" hidden="1">
      <c r="A245" s="1498"/>
      <c r="B245" s="925"/>
      <c r="C245" s="1498"/>
      <c r="D245" s="1498"/>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98"/>
      <c r="S245" s="156" cm="1" t="str">
        <f t="array" ref="S245:S245">OFFSET(T245,-1,-1)</f>
        <v>true</v>
      </c>
      <c r="T245" s="1498"/>
      <c r="U245" s="816">
        <f>AND(S245,IF(ISBLANK(T245),TRUE,T245))</f>
        <v>1</v>
      </c>
      <c r="V245" s="1498"/>
      <c r="W245" s="1498"/>
      <c r="X245" s="971" t="str">
        <f>"{                  
         funcDyn: 'msg1',
         blok: 'blok_2',
         wsCross: 'Топливо 4.4',
         linkFormula: 'AE-AE#AF-AF',
         levelDyn: "&amp;Y139&amp;"
}"</f>
        <v>{                  
         funcDyn: 'msg1',
         blok: 'blok_2',
         wsCross: 'Топливо 4.4',
         linkFormula: 'AE-AE#AF-AF',
         levelDyn: 1
}</v>
      </c>
      <c r="Y245" s="1498"/>
      <c r="Z245" s="1498"/>
      <c r="AA245" s="817"/>
      <c r="AB245" s="1504"/>
      <c r="AC245" s="1642"/>
      <c r="AD245" s="974"/>
      <c r="AE245" s="973" t="s">
        <v>237</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42"/>
      <c r="CV245" s="1642"/>
      <c r="CW245" s="1171" t="str">
        <f>IF(AND(ISNUMBER(VALUE(TRIM(SUBSTITUTE(AD245,".","")))),TRIM(SUBSTITUTE(AD245,".",""))&lt;&gt;""),"P"&amp;SUBSTITUTE(AD245,".",""),"")</f>
        <v/>
      </c>
      <c r="CX245" s="1176"/>
      <c r="CY245" s="1176"/>
      <c r="CZ245" s="1176"/>
      <c r="DA245" s="1177"/>
      <c r="DB245" s="1177"/>
    </row>
    <row s="1642" customFormat="1" customHeight="1" ht="16.5">
      <c r="A246" s="1498"/>
      <c r="B246" s="925"/>
      <c r="C246" s="1498"/>
      <c r="D246" s="1498"/>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98"/>
      <c r="S246" s="156" cm="1" t="str">
        <f t="array" ref="S246:S246">OFFSET(T246,-1,-1)</f>
        <v>true</v>
      </c>
      <c r="T246" s="1498"/>
      <c r="U246" s="816">
        <f>AND(S246,IF(ISBLANK(T246),TRUE,T246))</f>
        <v>1</v>
      </c>
      <c r="V246" s="1498"/>
      <c r="W246" s="1498"/>
      <c r="X246" s="1498"/>
      <c r="Y246" s="1498"/>
      <c r="Z246" s="1498"/>
      <c r="AA246" s="817"/>
      <c r="AB246" s="1504"/>
      <c r="AC246" s="1642"/>
      <c r="AD246" s="170" t="s">
        <v>883</v>
      </c>
      <c r="AE246" s="1472" t="s">
        <v>884</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92"/>
      <c r="CU246" s="1642"/>
      <c r="CV246" s="1642"/>
      <c r="CW246" s="1171" t="s">
        <v>885</v>
      </c>
      <c r="CX246" s="1176"/>
      <c r="CY246" s="1176"/>
      <c r="CZ246" s="1176"/>
      <c r="DA246" s="1177"/>
      <c r="DB246" s="1177"/>
    </row>
    <row s="1642" customFormat="1" customHeight="1" ht="16.5" hidden="1">
      <c r="A247" s="1498"/>
      <c r="B247" s="925"/>
      <c r="C247" s="1498"/>
      <c r="D247" s="1498"/>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98"/>
      <c r="S247" s="156" cm="1" t="str">
        <f t="array" ref="S247:S247">OFFSET(T247,-1,-1)</f>
        <v>true</v>
      </c>
      <c r="T247" s="156">
        <f>AD247&lt;&gt;"42.0"</f>
        <v>0</v>
      </c>
      <c r="U247" s="816">
        <f>AND(S247,IF(ISBLANK(T247),TRUE,T247))</f>
        <v>0</v>
      </c>
      <c r="V247" s="1498"/>
      <c r="W247" s="1498"/>
      <c r="X247" s="156" t="s">
        <v>235</v>
      </c>
      <c r="Y247" s="1498"/>
      <c r="Z247" s="1498"/>
      <c r="AA247" s="817"/>
      <c r="AB247" s="1504"/>
      <c r="AC247" s="1642"/>
      <c r="AD247" s="157" t="s">
        <v>886</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42"/>
      <c r="CV247" s="1642"/>
      <c r="CW247" s="1171" t="s">
        <v>885</v>
      </c>
      <c r="CX247" s="1176" t="s">
        <v>781</v>
      </c>
      <c r="CY247" s="1180" cm="1" t="str">
        <f t="array" ref="CY247:CY247">AE247</f>
        <v>0</v>
      </c>
      <c r="CZ247" s="1180" cm="1" t="str">
        <f t="array" ref="CZ247:CZ247">AF247</f>
        <v>0</v>
      </c>
      <c r="DA247" s="1177"/>
      <c r="DB247" s="1177"/>
    </row>
    <row s="1642" customFormat="1" customHeight="1" ht="15" hidden="1">
      <c r="A248" s="1498"/>
      <c r="B248" s="925"/>
      <c r="C248" s="1498"/>
      <c r="D248" s="1498"/>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98"/>
      <c r="S248" s="156" cm="1" t="str">
        <f t="array" ref="S248:S248">OFFSET(T248,-1,-1)</f>
        <v>true</v>
      </c>
      <c r="T248" s="1498"/>
      <c r="U248" s="816">
        <f>AND(S248,IF(ISBLANK(T248),TRUE,T248))</f>
        <v>1</v>
      </c>
      <c r="V248" s="1498"/>
      <c r="W248" s="1498"/>
      <c r="X248" s="971" t="str">
        <f>"{                  
         funcDyn: 'msg1',
         blok: '',
         wsCross: '',
         linkFormula: '',
         levelDyn: "&amp;Y139&amp;"
}"</f>
        <v>{                  
         funcDyn: 'msg1',
         blok: '',
         wsCross: '',
         linkFormula: '',
         levelDyn: 1
}</v>
      </c>
      <c r="Y248" s="1498"/>
      <c r="Z248" s="1498"/>
      <c r="AA248" s="817"/>
      <c r="AB248" s="1504"/>
      <c r="AC248" s="1642"/>
      <c r="AD248" s="974"/>
      <c r="AE248" s="973" t="s">
        <v>237</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42"/>
      <c r="CV248" s="1642"/>
      <c r="CW248" s="1171" t="str">
        <f>IF(AND(ISNUMBER(VALUE(TRIM(SUBSTITUTE(AD248,".","")))),TRIM(SUBSTITUTE(AD248,".",""))&lt;&gt;""),"P"&amp;SUBSTITUTE(AD248,".",""),"")</f>
        <v/>
      </c>
      <c r="CX248" s="1176"/>
      <c r="CY248" s="1176"/>
      <c r="CZ248" s="1176"/>
      <c r="DA248" s="1177"/>
      <c r="DB248" s="1177"/>
    </row>
    <row s="1642" customFormat="1" customHeight="1" ht="16.5">
      <c r="A249" s="1498"/>
      <c r="B249" s="925"/>
      <c r="C249" s="1498"/>
      <c r="D249" s="1498"/>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98"/>
      <c r="S249" s="156" cm="1" t="str">
        <f t="array" ref="S249:S249">OFFSET(T249,-1,-1)</f>
        <v>true</v>
      </c>
      <c r="T249" s="1498"/>
      <c r="U249" s="816">
        <f>AND(S249,IF(ISBLANK(T249),TRUE,T249))</f>
        <v>1</v>
      </c>
      <c r="V249" s="1498"/>
      <c r="W249" s="1498"/>
      <c r="X249" s="1498"/>
      <c r="Y249" s="1498"/>
      <c r="Z249" s="1498"/>
      <c r="AA249" s="817"/>
      <c r="AB249" s="1505"/>
      <c r="AC249" s="976"/>
      <c r="AD249" s="170" t="s">
        <v>887</v>
      </c>
      <c r="AE249" s="1472" t="s">
        <v>888</v>
      </c>
      <c r="AF249" s="320"/>
      <c r="AG249" s="857" t="s">
        <v>889</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92"/>
      <c r="CU249" s="1642"/>
      <c r="CV249" s="1642"/>
      <c r="CW249" s="1171" t="s">
        <v>890</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237</v>
      </c>
      <c r="W250" s="168" t="s">
        <v>891</v>
      </c>
      <c r="X250" s="156"/>
      <c r="Y250" s="156"/>
      <c r="Z250" s="156"/>
      <c r="AA250" s="810"/>
      <c r="AO250" s="1799"/>
      <c r="AP250" s="1799"/>
      <c r="AQ250" s="1799"/>
      <c r="AR250" s="1799"/>
      <c r="AS250" s="1799"/>
      <c r="AT250" s="1799"/>
      <c r="AU250" s="1799"/>
      <c r="AV250" s="1799"/>
      <c r="AW250" s="1799"/>
      <c r="AX250" s="1799"/>
      <c r="AY250" s="1799"/>
      <c r="AZ250" s="1799"/>
      <c r="BA250" s="1799"/>
      <c r="BB250" s="1799"/>
      <c r="BC250" s="1799"/>
      <c r="BD250" s="1799"/>
      <c r="BE250" s="1799"/>
      <c r="BF250" s="1799"/>
      <c r="BG250" s="1799"/>
      <c r="BH250" s="1799"/>
      <c r="BI250" s="1799"/>
      <c r="BJ250" s="1799"/>
      <c r="BK250" s="1799"/>
      <c r="BL250" s="1799"/>
      <c r="BM250" s="1799"/>
      <c r="BN250" s="1799"/>
      <c r="BO250" s="1799"/>
      <c r="BP250" s="1799"/>
      <c r="BQ250" s="1799"/>
      <c r="BR250" s="1799"/>
      <c r="BS250" s="1799"/>
      <c r="BT250" s="1799"/>
      <c r="BU250" s="1799"/>
      <c r="BV250" s="1799"/>
      <c r="BW250" s="1799"/>
      <c r="BX250" s="1799"/>
      <c r="BY250" s="1799"/>
      <c r="BZ250" s="1799"/>
      <c r="CA250" s="1799"/>
      <c r="CB250" s="1799"/>
      <c r="CC250" s="1799"/>
      <c r="CD250" s="1799"/>
      <c r="CE250" s="1799"/>
      <c r="CF250" s="1799"/>
      <c r="CG250" s="1799"/>
      <c r="CH250" s="1799"/>
      <c r="CI250" s="1799"/>
      <c r="CJ250" s="1799"/>
      <c r="CK250" s="1799"/>
      <c r="CL250" s="1799"/>
      <c r="CM250" s="1799"/>
      <c r="CN250" s="1799"/>
      <c r="CO250" s="1799"/>
      <c r="CP250" s="1799"/>
      <c r="CQ250" s="1799"/>
      <c r="CR250" s="1799"/>
      <c r="CS250" s="1799"/>
      <c r="CW250" s="1171"/>
      <c r="CX250" s="1176"/>
      <c r="CY250" s="1176"/>
      <c r="CZ250" s="1176"/>
      <c r="DA250" s="1177"/>
      <c r="DB250" s="1177"/>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C4718-44B8-44C8-F8B5-E6F303920FB8}" mc:Ignorable="x14ac xr xr2 xr3">
  <sheetPr>
    <tabColor rgb="FFFFC000"/>
    <outlinePr summaryRight="0" summaryBelow="0"/>
    <pageSetUpPr fitToPage="1"/>
  </sheetPr>
  <dimension ref="A1:BJ119"/>
  <sheetViews>
    <sheetView showGridLines="0" workbookViewId="0">
      <pane xSplit="30" ySplit="26" topLeftCell="AE68" activePane="bottomRight" state="frozen"/>
      <selection pane="bottomLeft" activeCell="A27" sqref="A27"/>
      <selection pane="topRight" activeCell="AE1" sqref="AE1"/>
      <selection pane="bottomRight" activeCell="BC108" sqref="BC108"/>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372</v>
      </c>
      <c r="BG1" s="1182" t="s">
        <v>373</v>
      </c>
      <c r="BH1" s="1182" t="s">
        <v>374</v>
      </c>
      <c r="BI1" s="1185" t="s">
        <v>377</v>
      </c>
      <c r="BJ1" s="1185" t="s">
        <v>378</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424</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426</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383</v>
      </c>
      <c r="B12" s="1152"/>
      <c r="E12" s="1152"/>
      <c r="G12" s="1168"/>
      <c r="H12" s="1168"/>
      <c r="I12" s="1168"/>
      <c r="J12" s="1168"/>
      <c r="K12" s="1168"/>
      <c r="L12" s="1168"/>
      <c r="M12" s="1168"/>
      <c r="N12" s="1168"/>
      <c r="O12" s="1168"/>
      <c r="P12" s="1168"/>
      <c r="Q12" s="1183"/>
      <c r="R12" s="1183"/>
      <c r="S12" s="1168"/>
      <c r="AC12" s="1160" t="s">
        <v>374</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482</v>
      </c>
      <c r="B18" s="785"/>
      <c r="E18" s="794"/>
      <c r="G18" s="210"/>
      <c r="H18" s="210"/>
      <c r="I18" s="210"/>
      <c r="J18" s="210"/>
      <c r="K18" s="210"/>
      <c r="L18" s="210"/>
      <c r="M18" s="210"/>
      <c r="N18" s="210"/>
      <c r="O18" s="210"/>
      <c r="P18" s="210"/>
      <c r="Q18" s="736"/>
      <c r="R18" s="736"/>
      <c r="S18" s="210"/>
      <c r="AC18" s="172" t="s">
        <v>427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Ульяновская область / 2026 / ООО "НИИАР-ГЕНЕРАЦИЯ" (ИНН:7329008990, КПП:732901001)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892</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385</v>
      </c>
      <c r="AC24" s="1511" t="s">
        <v>427</v>
      </c>
      <c r="AD24" s="1511"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49" t="s">
        <v>582</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401</v>
      </c>
      <c r="AF25" s="1354" t="s">
        <v>583</v>
      </c>
      <c r="AG25" s="167" t="s">
        <v>584</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449"/>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311</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893</v>
      </c>
      <c r="I28" s="212" t="s">
        <v>894</v>
      </c>
      <c r="T28" s="921" cm="1" t="str">
        <f t="array" ref="T28:T28">T27</f>
        <v>false</v>
      </c>
      <c r="AB28" s="283">
        <v>1</v>
      </c>
      <c r="AC28" s="278" t="s">
        <v>895</v>
      </c>
      <c r="AD28" s="277" t="s">
        <v>799</v>
      </c>
      <c r="AE28" s="609">
        <f>SUMIF($I33:$I45,$I28,AE33:AE45)</f>
        <v>0</v>
      </c>
      <c r="AF28" s="609">
        <f>SUMIF($I33:$I45,$I28,AF33:AF45)</f>
        <v>0</v>
      </c>
      <c r="AG28" s="609">
        <f>SUMIF($I33:$I45,$I28,AG33:AG45)</f>
        <v>0</v>
      </c>
      <c r="AH28" s="609">
        <f>SUMIF($I33:$I45,$I28,AH33:AH45)</f>
        <v>0</v>
      </c>
      <c r="AI28" s="609">
        <f>SUMIF($I33:$I45,$I28,AI33:AI45)</f>
        <v>0</v>
      </c>
      <c r="AJ28" s="1834">
        <f>SUMIF($I33:$I45,$I28,AJ33:AJ45)</f>
        <v>0</v>
      </c>
      <c r="AK28" s="1834">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34">
        <f>SUMIF($I33:$I45,$I28,AT33:AT45)</f>
        <v>0</v>
      </c>
      <c r="AU28" s="1834">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896</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436</v>
      </c>
      <c r="AC29" s="273" t="s">
        <v>897</v>
      </c>
      <c r="AD29" s="167" t="s">
        <v>722</v>
      </c>
      <c r="AE29" s="264">
        <f>SUMIF($AD33:$AD45,$AD29,AE33:AE45)</f>
        <v>0</v>
      </c>
      <c r="AF29" s="264">
        <f>SUMIF($AD33:$AD45,$AD29,AF33:AF45)</f>
        <v>0</v>
      </c>
      <c r="AG29" s="264">
        <f>SUMIF($AD33:$AD45,$AD29,AG33:AG45)</f>
        <v>0</v>
      </c>
      <c r="AH29" s="264">
        <f>SUMIF($AD33:$AD45,$AD29,AH33:AH45)</f>
        <v>0</v>
      </c>
      <c r="AI29" s="264">
        <f>SUMIF($AD33:$AD45,$AD29,AI33:AI45)</f>
        <v>0</v>
      </c>
      <c r="AJ29" s="1661">
        <f>SUMIF($AD33:$AD45,$AD29,AJ33:AJ45)</f>
        <v>0</v>
      </c>
      <c r="AK29" s="1661">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61">
        <f>SUMIF($AD33:$AD45,$AD29,AT33:AT45)</f>
        <v>0</v>
      </c>
      <c r="AU29" s="1661">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898</v>
      </c>
      <c r="BG29" s="1188"/>
      <c r="BH29" s="1188"/>
      <c r="BI29" s="1189"/>
      <c r="BJ29" s="1189"/>
    </row>
    <row s="1444" customFormat="1" customHeight="1" ht="16.672500000000003" hidden="1">
      <c r="E30" s="800">
        <v>17.1</v>
      </c>
      <c r="F30" s="920" cm="1" t="str">
        <f t="array" ref="F30:F30">OFFSET(G30,-1,-1)</f>
        <v>0</v>
      </c>
      <c r="T30" s="921" cm="1" t="str">
        <f t="array" ref="T30:T30">T29</f>
        <v>false</v>
      </c>
      <c r="AB30" s="213" t="s">
        <v>899</v>
      </c>
      <c r="AC30" s="273" t="s">
        <v>900</v>
      </c>
      <c r="AD30" s="167" t="s">
        <v>586</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35">
        <f>IF($K27="передача тепловой энергии",_xlfn.SUMIFS('Баланс Тр'!AJ$27:AJ$43,'Баланс Тр'!$F$27:$F$43,$F30,'Баланс Тр'!$AB$27:$AB$43,"3"),_xlfn.SUMIFS('Баланс Пр'!AJ$27:AJ$165,'Баланс Пр'!$F$27:$F$165,$F30,'Баланс Пр'!$AB$27:$AB$165,"9.1"))</f>
        <v>0</v>
      </c>
      <c r="AK30" s="1835">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35">
        <f>IF($K27="передача тепловой энергии",_xlfn.SUMIFS('Баланс Тр'!AT$27:AT$43,'Баланс Тр'!$F$27:$F$43,$F30,'Баланс Тр'!$AB$27:$AB$43,"3"),_xlfn.SUMIFS('Баланс Пр'!AT$27:AT$165,'Баланс Пр'!$F$27:$F$165,$F30,'Баланс Пр'!$AB$27:$AB$165,"9.1"))</f>
        <v>0</v>
      </c>
      <c r="AU30" s="1835">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748</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901</v>
      </c>
      <c r="AC31" s="273" t="s">
        <v>902</v>
      </c>
      <c r="AD31" s="167" t="s">
        <v>903</v>
      </c>
      <c r="AE31" s="264">
        <f>IF(AE29=0,0,AE28/AE29)</f>
        <v>0</v>
      </c>
      <c r="AF31" s="264">
        <f>IF(AF29=0,0,AF28/AF29)</f>
        <v>0</v>
      </c>
      <c r="AG31" s="264">
        <f>IF(AG29=0,0,AG28/AG29)</f>
        <v>0</v>
      </c>
      <c r="AH31" s="264">
        <f>IF(AH29=0,0,AH28/AH29)</f>
        <v>0</v>
      </c>
      <c r="AI31" s="264">
        <f>IF(AI29=0,0,AI28/AI29)</f>
        <v>0</v>
      </c>
      <c r="AJ31" s="1661">
        <f>IF(AJ29=0,0,AJ28/AJ29)</f>
        <v>0</v>
      </c>
      <c r="AK31" s="1661">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61">
        <f>IF(AT29=0,0,AT28/AT29)</f>
        <v>0</v>
      </c>
      <c r="AU31" s="1661">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904</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905</v>
      </c>
      <c r="AC32" s="273" t="s">
        <v>906</v>
      </c>
      <c r="AD32" s="167" t="s">
        <v>734</v>
      </c>
      <c r="AE32" s="384">
        <f>IF(AE30=0,0,AE29/AE30)*1000</f>
        <v>0</v>
      </c>
      <c r="AF32" s="384">
        <f>IF(AF30=0,0,AF29/AF30)*1000</f>
        <v>0</v>
      </c>
      <c r="AG32" s="384">
        <f>IF(AG30=0,0,AG29/AG30)*1000</f>
        <v>0</v>
      </c>
      <c r="AH32" s="384">
        <f>IF(AH30=0,0,AH29/AH30)*1000</f>
        <v>0</v>
      </c>
      <c r="AI32" s="384">
        <f>IF(AI30=0,0,AI29/AI30)*1000</f>
        <v>0</v>
      </c>
      <c r="AJ32" s="1836">
        <f>IF(AJ30=0,0,AJ29/AJ30)*1000</f>
        <v>0</v>
      </c>
      <c r="AK32" s="1836">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36">
        <f>IF(AT30=0,0,AT29/AT30)*1000</f>
        <v>0</v>
      </c>
      <c r="AU32" s="1836">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725</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907</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894</v>
      </c>
      <c r="S34" s="155"/>
      <c r="T34" s="921">
        <f>AND(F34&gt;0,Y34&gt;0)</f>
        <v>0</v>
      </c>
      <c r="W34" s="168" t="s">
        <v>235</v>
      </c>
      <c r="Y34" s="168">
        <v>0</v>
      </c>
      <c r="AA34" s="1385" t="s">
        <v>219</v>
      </c>
      <c r="AB34" s="213" t="str">
        <f>"1.5."&amp;Y34</f>
        <v>1.5.0</v>
      </c>
      <c r="AC34" s="101"/>
      <c r="AD34" s="153" t="s">
        <v>799</v>
      </c>
      <c r="AE34" s="1838">
        <f>AE35*AE36</f>
        <v>0</v>
      </c>
      <c r="AF34" s="59"/>
      <c r="AG34" s="59"/>
      <c r="AH34" s="1838">
        <f>AH35*AH36</f>
        <v>0</v>
      </c>
      <c r="AI34" s="209"/>
      <c r="AJ34" s="1661"/>
      <c r="AK34" s="1661"/>
      <c r="AL34" s="59"/>
      <c r="AM34" s="59"/>
      <c r="AN34" s="59"/>
      <c r="AO34" s="59"/>
      <c r="AP34" s="59"/>
      <c r="AQ34" s="59"/>
      <c r="AR34" s="59"/>
      <c r="AS34" s="1839">
        <f>AS35*AS36</f>
        <v>0</v>
      </c>
      <c r="AT34" s="1839">
        <f>AT35*AT36</f>
        <v>0</v>
      </c>
      <c r="AU34" s="1839">
        <f>AU35*AU36</f>
        <v>0</v>
      </c>
      <c r="AV34" s="1838">
        <f>AV35*AV36</f>
        <v>0</v>
      </c>
      <c r="AW34" s="1838">
        <f>AW35*AW36</f>
        <v>0</v>
      </c>
      <c r="AX34" s="1838">
        <f>AX35*AX36</f>
        <v>0</v>
      </c>
      <c r="AY34" s="1838">
        <f>AY35*AY36</f>
        <v>0</v>
      </c>
      <c r="AZ34" s="1838">
        <f>AZ35*AZ36</f>
        <v>0</v>
      </c>
      <c r="BA34" s="1838">
        <f>BA35*BA36</f>
        <v>0</v>
      </c>
      <c r="BB34" s="1838">
        <f>BB35*BB36</f>
        <v>0</v>
      </c>
      <c r="BC34" s="74"/>
      <c r="BF34" s="1182" t="s">
        <v>908</v>
      </c>
      <c r="BG34" s="1188" t="s">
        <v>909</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6"/>
      <c r="T35" s="943" cm="1" t="str">
        <f t="array" ref="T35:T35">T34</f>
        <v>false</v>
      </c>
      <c r="U35" s="1444"/>
      <c r="V35" s="1444"/>
      <c r="W35" s="1444"/>
      <c r="X35" s="1444"/>
      <c r="Y35" s="1444"/>
      <c r="Z35" s="1444"/>
      <c r="AA35" s="1385"/>
      <c r="AB35" s="812" t="str">
        <f>AB34&amp;".1"</f>
        <v>1.5.0.1</v>
      </c>
      <c r="AC35" s="781" t="s">
        <v>910</v>
      </c>
      <c r="AD35" s="1438" t="s">
        <v>911</v>
      </c>
      <c r="AE35" s="1840"/>
      <c r="AF35" s="1841">
        <f>IF(AF36=0,0,AF34/AF36)</f>
        <v>0</v>
      </c>
      <c r="AG35" s="1841">
        <f>IF(AG36=0,0,AG34/AG36)</f>
        <v>0</v>
      </c>
      <c r="AH35" s="1840"/>
      <c r="AI35" s="1841">
        <f>IF(AI36=0,0,AI34/AI36)</f>
        <v>0</v>
      </c>
      <c r="AJ35" s="1842">
        <f>IF(AJ36=0,0,AJ34/AJ36)</f>
        <v>0</v>
      </c>
      <c r="AK35" s="1842">
        <f>IF(AK36=0,0,AK34/AK36)</f>
        <v>0</v>
      </c>
      <c r="AL35" s="1841">
        <f>IF(AL36=0,0,AL34/AL36)</f>
        <v>0</v>
      </c>
      <c r="AM35" s="1841">
        <f>IF(AM36=0,0,AM34/AM36)</f>
        <v>0</v>
      </c>
      <c r="AN35" s="1841">
        <f>IF(AN36=0,0,AN34/AN36)</f>
        <v>0</v>
      </c>
      <c r="AO35" s="1841">
        <f>IF(AO36=0,0,AO34/AO36)</f>
        <v>0</v>
      </c>
      <c r="AP35" s="1841">
        <f>IF(AP36=0,0,AP34/AP36)</f>
        <v>0</v>
      </c>
      <c r="AQ35" s="1841">
        <f>IF(AQ36=0,0,AQ34/AQ36)</f>
        <v>0</v>
      </c>
      <c r="AR35" s="1841">
        <f>IF(AR36=0,0,AR34/AR36)</f>
        <v>0</v>
      </c>
      <c r="AS35" s="779"/>
      <c r="AT35" s="1843"/>
      <c r="AU35" s="1843"/>
      <c r="AV35" s="1840"/>
      <c r="AW35" s="1840"/>
      <c r="AX35" s="1840"/>
      <c r="AY35" s="1840"/>
      <c r="AZ35" s="1840"/>
      <c r="BA35" s="1840"/>
      <c r="BB35" s="1840"/>
      <c r="BC35" s="1844"/>
      <c r="BD35" s="1444"/>
      <c r="BE35" s="1444"/>
      <c r="BF35" s="1217" t="s">
        <v>912</v>
      </c>
      <c r="BG35" s="1188" t="s">
        <v>909</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5"/>
      <c r="AB36" s="812" t="str">
        <f>AB34&amp;".2"</f>
        <v>1.5.0.2</v>
      </c>
      <c r="AC36" s="781" t="s">
        <v>913</v>
      </c>
      <c r="AD36" s="171" t="s">
        <v>722</v>
      </c>
      <c r="AE36" s="102"/>
      <c r="AF36" s="102"/>
      <c r="AG36" s="102"/>
      <c r="AH36" s="102"/>
      <c r="AI36" s="779"/>
      <c r="AJ36" s="1843"/>
      <c r="AK36" s="1843"/>
      <c r="AL36" s="102"/>
      <c r="AM36" s="102"/>
      <c r="AN36" s="102"/>
      <c r="AO36" s="102"/>
      <c r="AP36" s="102"/>
      <c r="AQ36" s="102"/>
      <c r="AR36" s="102"/>
      <c r="AS36" s="779"/>
      <c r="AT36" s="1843"/>
      <c r="AU36" s="1843"/>
      <c r="AV36" s="102"/>
      <c r="AW36" s="102"/>
      <c r="AX36" s="102"/>
      <c r="AY36" s="102"/>
      <c r="AZ36" s="102"/>
      <c r="BA36" s="102"/>
      <c r="BB36" s="102"/>
      <c r="BC36" s="69"/>
      <c r="BF36" s="1182" t="s">
        <v>914</v>
      </c>
      <c r="BG36" s="1188" t="s">
        <v>909</v>
      </c>
      <c r="BH36" s="1188" cm="1" t="str">
        <f t="array" ref="BH36:BH36">BH34</f>
        <v>0</v>
      </c>
      <c r="BI36" s="1189"/>
      <c r="BJ36" s="1189"/>
    </row>
    <row s="963" customFormat="1" customHeight="1" ht="16.672500000000003" hidden="1">
      <c r="E37" s="794">
        <v>17.1</v>
      </c>
      <c r="F37" s="920" cm="1" t="str">
        <f t="array" ref="F37:F37">OFFSET(G37,-1,-1)</f>
        <v>0</v>
      </c>
      <c r="T37" s="921">
        <f>F37&gt;0</f>
        <v>0</v>
      </c>
      <c r="W37" s="371" t="s">
        <v>915</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909</v>
      </c>
      <c r="BJ37" s="1187"/>
    </row>
    <row s="1444" customFormat="1" customHeight="1" ht="16.672500000000003" hidden="1">
      <c r="E38" s="800">
        <v>17.1</v>
      </c>
      <c r="F38" s="920" cm="1" t="str">
        <f t="array" ref="F38:F38">OFFSET(G38,-1,-1)</f>
        <v>0</v>
      </c>
      <c r="S38" s="155"/>
      <c r="T38" s="921">
        <f>F38&gt;0</f>
        <v>0</v>
      </c>
      <c r="AB38" s="782"/>
      <c r="AC38" s="340" t="s">
        <v>916</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894</v>
      </c>
      <c r="S39" s="155"/>
      <c r="T39" s="921">
        <f>AND(F39&gt;0,Y39&gt;0)</f>
        <v>0</v>
      </c>
      <c r="W39" s="168" t="s">
        <v>235</v>
      </c>
      <c r="Y39" s="168">
        <v>0</v>
      </c>
      <c r="AA39" s="1385" t="s">
        <v>219</v>
      </c>
      <c r="AB39" s="213" t="str">
        <f>"1.6."&amp;Y39</f>
        <v>1.6.0</v>
      </c>
      <c r="AC39" s="101"/>
      <c r="AD39" s="153" t="s">
        <v>799</v>
      </c>
      <c r="AE39" s="264">
        <f>AE41+AE43</f>
        <v>0</v>
      </c>
      <c r="AF39" s="264">
        <f>AF41+AF43</f>
        <v>0</v>
      </c>
      <c r="AG39" s="264">
        <f>AG41+AG43</f>
        <v>0</v>
      </c>
      <c r="AH39" s="264">
        <f>AH41+AH43</f>
        <v>0</v>
      </c>
      <c r="AI39" s="264">
        <f>AI41+AI43</f>
        <v>0</v>
      </c>
      <c r="AJ39" s="1661">
        <f>AJ41+AJ43</f>
        <v>0</v>
      </c>
      <c r="AK39" s="1661">
        <f>AK41+AK43</f>
        <v>0</v>
      </c>
      <c r="AL39" s="59">
        <f>AL41+AL43</f>
        <v>0</v>
      </c>
      <c r="AM39" s="59">
        <f>AM41+AM43</f>
        <v>0</v>
      </c>
      <c r="AN39" s="59">
        <f>AN41+AN43</f>
        <v>0</v>
      </c>
      <c r="AO39" s="59">
        <f>AO41+AO43</f>
        <v>0</v>
      </c>
      <c r="AP39" s="59">
        <f>AP41+AP43</f>
        <v>0</v>
      </c>
      <c r="AQ39" s="59">
        <f>AQ41+AQ43</f>
        <v>0</v>
      </c>
      <c r="AR39" s="59">
        <f>AR41+AR43</f>
        <v>0</v>
      </c>
      <c r="AS39" s="264">
        <f>AS41+AS43</f>
        <v>0</v>
      </c>
      <c r="AT39" s="1661">
        <f>AT41+AT43</f>
        <v>0</v>
      </c>
      <c r="AU39" s="1661">
        <f>AU41+AU43</f>
        <v>0</v>
      </c>
      <c r="AV39" s="59">
        <f>AV41+AV43</f>
        <v>0</v>
      </c>
      <c r="AW39" s="59">
        <f>AW41+AW43</f>
        <v>0</v>
      </c>
      <c r="AX39" s="59">
        <f>AX41+AX43</f>
        <v>0</v>
      </c>
      <c r="AY39" s="59">
        <f>AY41+AY43</f>
        <v>0</v>
      </c>
      <c r="AZ39" s="59">
        <f>AZ41+AZ43</f>
        <v>0</v>
      </c>
      <c r="BA39" s="59">
        <f>BA41+BA43</f>
        <v>0</v>
      </c>
      <c r="BB39" s="59">
        <f>BB41+BB43</f>
        <v>0</v>
      </c>
      <c r="BC39" s="74"/>
      <c r="BF39" s="1182" t="s">
        <v>917</v>
      </c>
      <c r="BG39" s="1188" t="s">
        <v>918</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6"/>
      <c r="T40" s="943" cm="1" t="str">
        <f t="array" ref="T40:T40">T39</f>
        <v>false</v>
      </c>
      <c r="U40" s="1444"/>
      <c r="V40" s="1444"/>
      <c r="W40" s="1444"/>
      <c r="X40" s="1444"/>
      <c r="Y40" s="1444"/>
      <c r="Z40" s="1444"/>
      <c r="AA40" s="1385"/>
      <c r="AB40" s="551" t="str">
        <f>AB39&amp;".1"</f>
        <v>1.6.0.1</v>
      </c>
      <c r="AC40" s="688" t="s">
        <v>910</v>
      </c>
      <c r="AD40" s="1511" t="s">
        <v>911</v>
      </c>
      <c r="AE40" s="1846"/>
      <c r="AF40" s="264">
        <f>IF(AF42=0,0,AF41/AF42)</f>
        <v>0</v>
      </c>
      <c r="AG40" s="264">
        <f>IF(AG42=0,0,AG41/AG42)</f>
        <v>0</v>
      </c>
      <c r="AH40" s="1846"/>
      <c r="AI40" s="264">
        <f>IF(AI42=0,0,AI41/AI42)</f>
        <v>0</v>
      </c>
      <c r="AJ40" s="1839">
        <f>IF(AJ42=0,0,AJ41/AJ42)</f>
        <v>0</v>
      </c>
      <c r="AK40" s="1839">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61"/>
      <c r="AU40" s="1661"/>
      <c r="AV40" s="1846"/>
      <c r="AW40" s="1846"/>
      <c r="AX40" s="1846"/>
      <c r="AY40" s="1846"/>
      <c r="AZ40" s="1846"/>
      <c r="BA40" s="1846"/>
      <c r="BB40" s="1846"/>
      <c r="BC40" s="1847"/>
      <c r="BD40" s="1444"/>
      <c r="BE40" s="1444"/>
      <c r="BF40" s="1217" t="s">
        <v>912</v>
      </c>
      <c r="BG40" s="1188" t="s">
        <v>918</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5"/>
      <c r="AB41" s="213" t="str">
        <f>AB39&amp;".2"</f>
        <v>1.6.0.2</v>
      </c>
      <c r="AC41" s="273" t="s">
        <v>919</v>
      </c>
      <c r="AD41" s="153" t="s">
        <v>799</v>
      </c>
      <c r="AE41" s="59"/>
      <c r="AF41" s="59"/>
      <c r="AG41" s="59"/>
      <c r="AH41" s="59"/>
      <c r="AI41" s="209"/>
      <c r="AJ41" s="1661"/>
      <c r="AK41" s="1661"/>
      <c r="AL41" s="59"/>
      <c r="AM41" s="59"/>
      <c r="AN41" s="59"/>
      <c r="AO41" s="59"/>
      <c r="AP41" s="59"/>
      <c r="AQ41" s="59"/>
      <c r="AR41" s="59"/>
      <c r="AS41" s="209"/>
      <c r="AT41" s="1661"/>
      <c r="AU41" s="1661"/>
      <c r="AV41" s="59"/>
      <c r="AW41" s="59"/>
      <c r="AX41" s="59"/>
      <c r="AY41" s="59"/>
      <c r="AZ41" s="59"/>
      <c r="BA41" s="59"/>
      <c r="BB41" s="59"/>
      <c r="BC41" s="74"/>
      <c r="BF41" s="1182" t="s">
        <v>908</v>
      </c>
      <c r="BG41" s="1188" t="s">
        <v>918</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5"/>
      <c r="AB42" s="213" t="str">
        <f>AB39&amp;".2.1"</f>
        <v>1.6.0.2.1</v>
      </c>
      <c r="AC42" s="415" t="s">
        <v>913</v>
      </c>
      <c r="AD42" s="167" t="s">
        <v>722</v>
      </c>
      <c r="AE42" s="59"/>
      <c r="AF42" s="59"/>
      <c r="AG42" s="59"/>
      <c r="AH42" s="59"/>
      <c r="AI42" s="209"/>
      <c r="AJ42" s="1661"/>
      <c r="AK42" s="1661"/>
      <c r="AL42" s="59"/>
      <c r="AM42" s="59"/>
      <c r="AN42" s="59"/>
      <c r="AO42" s="59"/>
      <c r="AP42" s="59"/>
      <c r="AQ42" s="59"/>
      <c r="AR42" s="59"/>
      <c r="AS42" s="209"/>
      <c r="AT42" s="1661"/>
      <c r="AU42" s="1661"/>
      <c r="AV42" s="59"/>
      <c r="AW42" s="59"/>
      <c r="AX42" s="59"/>
      <c r="AY42" s="59"/>
      <c r="AZ42" s="59"/>
      <c r="BA42" s="59"/>
      <c r="BB42" s="59"/>
      <c r="BC42" s="74"/>
      <c r="BF42" s="1182" t="s">
        <v>914</v>
      </c>
      <c r="BG42" s="1188" t="s">
        <v>918</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5"/>
      <c r="AB43" s="213" t="str">
        <f>AB39&amp;".3"</f>
        <v>1.6.0.3</v>
      </c>
      <c r="AC43" s="273" t="s">
        <v>920</v>
      </c>
      <c r="AD43" s="153" t="s">
        <v>921</v>
      </c>
      <c r="AE43" s="59"/>
      <c r="AF43" s="59"/>
      <c r="AG43" s="59"/>
      <c r="AH43" s="59"/>
      <c r="AI43" s="209"/>
      <c r="AJ43" s="1661"/>
      <c r="AK43" s="1661"/>
      <c r="AL43" s="59"/>
      <c r="AM43" s="59"/>
      <c r="AN43" s="59"/>
      <c r="AO43" s="59"/>
      <c r="AP43" s="59"/>
      <c r="AQ43" s="59"/>
      <c r="AR43" s="59"/>
      <c r="AS43" s="209"/>
      <c r="AT43" s="1661"/>
      <c r="AU43" s="1661"/>
      <c r="AV43" s="59"/>
      <c r="AW43" s="59"/>
      <c r="AX43" s="59"/>
      <c r="AY43" s="59"/>
      <c r="AZ43" s="59"/>
      <c r="BA43" s="59"/>
      <c r="BB43" s="59"/>
      <c r="BC43" s="74"/>
      <c r="BF43" s="1182" t="s">
        <v>922</v>
      </c>
      <c r="BG43" s="1188" t="s">
        <v>918</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5"/>
      <c r="AB44" s="812" t="str">
        <f>AB39&amp;".3.1"</f>
        <v>1.6.0.3.1</v>
      </c>
      <c r="AC44" s="778" t="s">
        <v>923</v>
      </c>
      <c r="AD44" s="171" t="s">
        <v>924</v>
      </c>
      <c r="AE44" s="102"/>
      <c r="AF44" s="102"/>
      <c r="AG44" s="102"/>
      <c r="AH44" s="102"/>
      <c r="AI44" s="779"/>
      <c r="AJ44" s="1843"/>
      <c r="AK44" s="1843"/>
      <c r="AL44" s="102"/>
      <c r="AM44" s="102"/>
      <c r="AN44" s="102"/>
      <c r="AO44" s="102"/>
      <c r="AP44" s="102"/>
      <c r="AQ44" s="102"/>
      <c r="AR44" s="102"/>
      <c r="AS44" s="779"/>
      <c r="AT44" s="1843"/>
      <c r="AU44" s="1843"/>
      <c r="AV44" s="102"/>
      <c r="AW44" s="102"/>
      <c r="AX44" s="102"/>
      <c r="AY44" s="102"/>
      <c r="AZ44" s="102"/>
      <c r="BA44" s="102"/>
      <c r="BB44" s="102"/>
      <c r="BC44" s="69"/>
      <c r="BF44" s="1182" t="s">
        <v>925</v>
      </c>
      <c r="BG44" s="1188" t="s">
        <v>918</v>
      </c>
      <c r="BH44" s="1188" cm="1" t="str">
        <f t="array" ref="BH44:BH44">BH43</f>
        <v>0</v>
      </c>
      <c r="BI44" s="1189"/>
      <c r="BJ44" s="1189"/>
    </row>
    <row s="963" customFormat="1" customHeight="1" ht="16.672500000000003" hidden="1">
      <c r="E45" s="794">
        <v>17.1</v>
      </c>
      <c r="F45" s="920" cm="1" t="str">
        <f t="array" ref="F45:F45">OFFSET(G45,-1,-1)</f>
        <v>0</v>
      </c>
      <c r="T45" s="921">
        <f>F45&gt;0</f>
        <v>0</v>
      </c>
      <c r="W45" s="371" t="s">
        <v>926</v>
      </c>
      <c r="AB45" s="813"/>
      <c r="AC45" s="780" t="s">
        <v>927</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918</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928</v>
      </c>
      <c r="I47" s="212" t="s">
        <v>894</v>
      </c>
      <c r="T47" s="921">
        <f>F47&gt;0</f>
        <v>0</v>
      </c>
      <c r="AB47" s="814">
        <v>2</v>
      </c>
      <c r="AC47" s="783" t="s">
        <v>929</v>
      </c>
      <c r="AD47" s="784" t="s">
        <v>799</v>
      </c>
      <c r="AE47" s="279">
        <f>SUMIF($I51:$I67,$I47,AE51:AE67)</f>
        <v>0</v>
      </c>
      <c r="AF47" s="279">
        <f>SUMIF($I51:$I67,$I47,AF51:AF67)</f>
        <v>0</v>
      </c>
      <c r="AG47" s="279">
        <f>SUMIF($I51:$I67,$I47,AG51:AG67)</f>
        <v>0</v>
      </c>
      <c r="AH47" s="279">
        <f>SUMIF($I51:$I67,$I47,AH51:AH67)</f>
        <v>0</v>
      </c>
      <c r="AI47" s="279">
        <f>SUMIF($I51:$I67,$I47,AI51:AI67)</f>
        <v>0</v>
      </c>
      <c r="AJ47" s="1848">
        <f>SUMIF($I51:$I67,$I47,AJ51:AJ67)</f>
        <v>0</v>
      </c>
      <c r="AK47" s="1848">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48">
        <f>SUMIF($I51:$I67,$I47,AT51:AT67)</f>
        <v>0</v>
      </c>
      <c r="AU47" s="1848">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660</v>
      </c>
      <c r="BG47" s="1190"/>
      <c r="BH47" s="1190"/>
      <c r="BI47" s="1191"/>
      <c r="BJ47" s="1191"/>
    </row>
    <row s="220" customFormat="1" customHeight="1" ht="14.625" hidden="1">
      <c r="E48" s="922">
        <v>15</v>
      </c>
      <c r="F48" s="920" cm="1" t="str">
        <f t="array" ref="F48:F48">OFFSET(G48,-1,-1)</f>
        <v>0</v>
      </c>
      <c r="G48" s="190" t="s">
        <v>930</v>
      </c>
      <c r="L48" s="210" cm="1" t="str">
        <f t="array" ref="L48:L48">INDEX('Общие сведения'!$AK$169:$AK$202,MATCH($F48,'Общие сведения'!$Z$169:$Z$202,0))</f>
        <v>0</v>
      </c>
      <c r="R48" s="190" t="s">
        <v>931</v>
      </c>
      <c r="T48" s="921">
        <f>AND(F48&gt;0,L48="двухставочный")</f>
        <v>0</v>
      </c>
      <c r="AA48" s="919" t="s">
        <v>932</v>
      </c>
      <c r="AB48" s="285" t="s">
        <v>932</v>
      </c>
      <c r="AC48" s="587" t="s">
        <v>933</v>
      </c>
      <c r="AD48" s="607" t="s">
        <v>799</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49">
        <f>_xlfn.SUMIFS(AJ51:AJ67,$AC51:$AC67,$AC48)</f>
        <v>0</v>
      </c>
      <c r="AK48" s="1849">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49">
        <f>_xlfn.SUMIFS(AT51:AT67,$AC51:$AC67,$AC48)</f>
        <v>0</v>
      </c>
      <c r="AU48" s="1849">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934</v>
      </c>
      <c r="BG48" s="1190"/>
      <c r="BH48" s="1190"/>
      <c r="BI48" s="1191"/>
      <c r="BJ48" s="1191"/>
    </row>
    <row s="220" customFormat="1" customHeight="1" ht="14.625" hidden="1">
      <c r="E49" s="922">
        <v>15</v>
      </c>
      <c r="F49" s="920" cm="1" t="str">
        <f t="array" ref="F49:F49">OFFSET(G49,-1,-1)</f>
        <v>0</v>
      </c>
      <c r="T49" s="921" cm="1" t="str">
        <f t="array" ref="T49:T49">T47</f>
        <v>false</v>
      </c>
      <c r="AB49" s="213" t="s">
        <v>443</v>
      </c>
      <c r="AC49" s="273" t="s">
        <v>935</v>
      </c>
      <c r="AD49" s="151" t="s">
        <v>586</v>
      </c>
      <c r="AE49" s="264">
        <f>SUMIF($AD51:$AD67,$AD49,AE51:AE67)</f>
        <v>0</v>
      </c>
      <c r="AF49" s="264">
        <f>SUMIF($AD51:$AD67,$AD49,AF51:AF67)</f>
        <v>0</v>
      </c>
      <c r="AG49" s="264">
        <f>SUMIF($AD51:$AD67,$AD49,AG51:AG67)</f>
        <v>0</v>
      </c>
      <c r="AH49" s="264">
        <f>SUMIF($AD51:$AD67,$AD49,AH51:AH67)</f>
        <v>0</v>
      </c>
      <c r="AI49" s="264">
        <f>SUMIF($AD51:$AD67,$AD49,AI51:AI67)</f>
        <v>0</v>
      </c>
      <c r="AJ49" s="1661">
        <f>SUMIF($AD51:$AD67,$AD49,AJ51:AJ67)</f>
        <v>0</v>
      </c>
      <c r="AK49" s="1661">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61">
        <f>SUMIF($AD51:$AD67,$AD49,AT51:AT67)</f>
        <v>0</v>
      </c>
      <c r="AU49" s="1661">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936</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474</v>
      </c>
      <c r="AC50" s="688" t="s">
        <v>902</v>
      </c>
      <c r="AD50" s="1515" t="s">
        <v>937</v>
      </c>
      <c r="AE50" s="264">
        <f>IF(AE49=0,0,AE47/AE49)*1000</f>
        <v>0</v>
      </c>
      <c r="AF50" s="264">
        <f>IF(AF49=0,0,AF47/AF49)*1000</f>
        <v>0</v>
      </c>
      <c r="AG50" s="264">
        <f>IF(AG49=0,0,AG47/AG49)*1000</f>
        <v>0</v>
      </c>
      <c r="AH50" s="264">
        <f>IF(AH49=0,0,AH47/AH49)*1000</f>
        <v>0</v>
      </c>
      <c r="AI50" s="264">
        <f>IF(AI49=0,0,AI47/AI49)*1000</f>
        <v>0</v>
      </c>
      <c r="AJ50" s="1661">
        <f>IF(AJ49=0,0,AJ47/AJ49)*1000</f>
        <v>0</v>
      </c>
      <c r="AK50" s="1661">
        <f>IF(AK49=0,0,AK47/AK49)*1000</f>
        <v>0</v>
      </c>
      <c r="AL50" s="1846">
        <f>IF(AL49=0,0,AL47/AL49)*1000</f>
        <v>0</v>
      </c>
      <c r="AM50" s="1846">
        <f>IF(AM49=0,0,AM47/AM49)*1000</f>
        <v>0</v>
      </c>
      <c r="AN50" s="1846">
        <f>IF(AN49=0,0,AN47/AN49)*1000</f>
        <v>0</v>
      </c>
      <c r="AO50" s="1846">
        <f>IF(AO49=0,0,AO47/AO49)*1000</f>
        <v>0</v>
      </c>
      <c r="AP50" s="1846">
        <f>IF(AP49=0,0,AP47/AP49)*1000</f>
        <v>0</v>
      </c>
      <c r="AQ50" s="1846">
        <f>IF(AQ49=0,0,AQ47/AQ49)*1000</f>
        <v>0</v>
      </c>
      <c r="AR50" s="1846">
        <f>IF(AR49=0,0,AR47/AR49)*1000</f>
        <v>0</v>
      </c>
      <c r="AS50" s="264">
        <f>IF(AS49=0,0,AS47/AS49)*1000</f>
        <v>0</v>
      </c>
      <c r="AT50" s="1661">
        <f>IF(AT49=0,0,AT47/AT49)*1000</f>
        <v>0</v>
      </c>
      <c r="AU50" s="1661">
        <f>IF(AU49=0,0,AU47/AU49)*1000</f>
        <v>0</v>
      </c>
      <c r="AV50" s="1846">
        <f>IF(AV49=0,0,AV47/AV49)*1000</f>
        <v>0</v>
      </c>
      <c r="AW50" s="1846">
        <f>IF(AW49=0,0,AW47/AW49)*1000</f>
        <v>0</v>
      </c>
      <c r="AX50" s="1846">
        <f>IF(AX49=0,0,AX47/AX49)*1000</f>
        <v>0</v>
      </c>
      <c r="AY50" s="1846">
        <f>IF(AY49=0,0,AY47/AY49)*1000</f>
        <v>0</v>
      </c>
      <c r="AZ50" s="1846">
        <f>IF(AZ49=0,0,AZ47/AZ49)*1000</f>
        <v>0</v>
      </c>
      <c r="BA50" s="1846">
        <f>IF(BA49=0,0,BA47/BA49)*1000</f>
        <v>0</v>
      </c>
      <c r="BB50" s="1846">
        <f>IF(BB49=0,0,BB47/BB49)*1000</f>
        <v>0</v>
      </c>
      <c r="BC50" s="1850"/>
      <c r="BD50" s="220"/>
      <c r="BE50" s="220"/>
      <c r="BF50" s="1190" t="s">
        <v>938</v>
      </c>
      <c r="BG50" s="1190"/>
      <c r="BH50" s="1190"/>
      <c r="BI50" s="1191"/>
      <c r="BJ50" s="1191"/>
    </row>
    <row s="220" customFormat="1" customHeight="1" ht="14.625" hidden="1">
      <c r="E51" s="922">
        <v>15</v>
      </c>
      <c r="F51" s="920" cm="1" t="str">
        <f t="array" ref="F51:F51">OFFSET(G51,-1,-1)</f>
        <v>0</v>
      </c>
      <c r="T51" s="921" cm="1" t="str">
        <f t="array" ref="T51:T51">T49</f>
        <v>false</v>
      </c>
      <c r="AB51" s="213" t="s">
        <v>470</v>
      </c>
      <c r="AC51" s="340" t="s">
        <v>907</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894</v>
      </c>
      <c r="T53" s="921">
        <f>AND(F53&gt;0,Y53&gt;0)</f>
        <v>0</v>
      </c>
      <c r="W53" s="168" t="s">
        <v>235</v>
      </c>
      <c r="Y53" s="180">
        <v>0</v>
      </c>
      <c r="AA53" s="1513" t="s">
        <v>219</v>
      </c>
      <c r="AB53" s="285" t="str">
        <f>"2.1."&amp;Y53</f>
        <v>2.1.0</v>
      </c>
      <c r="AC53" s="601"/>
      <c r="AD53" s="607" t="s">
        <v>799</v>
      </c>
      <c r="AE53" s="1852">
        <f>AE55*AE56/1000</f>
        <v>0</v>
      </c>
      <c r="AF53" s="62"/>
      <c r="AG53" s="62"/>
      <c r="AH53" s="1852">
        <f>AH55*AH56/1000</f>
        <v>0</v>
      </c>
      <c r="AI53" s="280"/>
      <c r="AJ53" s="1664"/>
      <c r="AK53" s="1664"/>
      <c r="AL53" s="62"/>
      <c r="AM53" s="62"/>
      <c r="AN53" s="62"/>
      <c r="AO53" s="62"/>
      <c r="AP53" s="62"/>
      <c r="AQ53" s="62"/>
      <c r="AR53" s="62"/>
      <c r="AS53" s="1853">
        <f>AS55*AS56/1000</f>
        <v>0</v>
      </c>
      <c r="AT53" s="1853">
        <f>AT55*AT56/1000</f>
        <v>0</v>
      </c>
      <c r="AU53" s="1853">
        <f>AU55*AU56/1000</f>
        <v>0</v>
      </c>
      <c r="AV53" s="1852">
        <f>AV55*AV56/1000</f>
        <v>0</v>
      </c>
      <c r="AW53" s="1852">
        <f>AW55*AW56/1000</f>
        <v>0</v>
      </c>
      <c r="AX53" s="1852">
        <f>AX55*AX56/1000</f>
        <v>0</v>
      </c>
      <c r="AY53" s="1852">
        <f>AY55*AY56/1000</f>
        <v>0</v>
      </c>
      <c r="AZ53" s="1852">
        <f>AZ55*AZ56/1000</f>
        <v>0</v>
      </c>
      <c r="BA53" s="1852">
        <f>BA55*BA56/1000</f>
        <v>0</v>
      </c>
      <c r="BB53" s="1852">
        <f>BB55*BB56/1000</f>
        <v>0</v>
      </c>
      <c r="BC53" s="104"/>
      <c r="BF53" s="1190" t="s">
        <v>939</v>
      </c>
      <c r="BG53" s="1190" t="s">
        <v>940</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931</v>
      </c>
      <c r="T54" s="921">
        <f>AND(T53,L54="двухставочный")</f>
        <v>0</v>
      </c>
      <c r="AA54" s="1513"/>
      <c r="AB54" s="285"/>
      <c r="AC54" s="587" t="s">
        <v>933</v>
      </c>
      <c r="AD54" s="607" t="s">
        <v>799</v>
      </c>
      <c r="AE54" s="66"/>
      <c r="AF54" s="66"/>
      <c r="AG54" s="66"/>
      <c r="AH54" s="66"/>
      <c r="AI54" s="608"/>
      <c r="AJ54" s="1849"/>
      <c r="AK54" s="1849"/>
      <c r="AL54" s="66"/>
      <c r="AM54" s="66"/>
      <c r="AN54" s="66"/>
      <c r="AO54" s="66"/>
      <c r="AP54" s="66"/>
      <c r="AQ54" s="66"/>
      <c r="AR54" s="66"/>
      <c r="AS54" s="608"/>
      <c r="AT54" s="1849"/>
      <c r="AU54" s="1849"/>
      <c r="AV54" s="66"/>
      <c r="AW54" s="66"/>
      <c r="AX54" s="66"/>
      <c r="AY54" s="66"/>
      <c r="AZ54" s="66"/>
      <c r="BA54" s="66"/>
      <c r="BB54" s="66"/>
      <c r="BC54" s="105"/>
      <c r="BF54" s="1190" t="s">
        <v>941</v>
      </c>
      <c r="BG54" s="1190" t="s">
        <v>940</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910</v>
      </c>
      <c r="AD55" s="1515" t="s">
        <v>937</v>
      </c>
      <c r="AE55" s="1854"/>
      <c r="AF55" s="666">
        <f>IF(AF56=0,0,AF53/AF56*1000)</f>
        <v>0</v>
      </c>
      <c r="AG55" s="666">
        <f>IF(AG56=0,0,AG53/AG56*1000)</f>
        <v>0</v>
      </c>
      <c r="AH55" s="1854"/>
      <c r="AI55" s="666">
        <f>IF(AI56=0,0,AI53/AI56*1000)</f>
        <v>0</v>
      </c>
      <c r="AJ55" s="1855">
        <f>IF(AJ56=0,0,AJ53/AJ56*1000)</f>
        <v>0</v>
      </c>
      <c r="AK55" s="1855">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49"/>
      <c r="AU55" s="1849"/>
      <c r="AV55" s="1854"/>
      <c r="AW55" s="1854"/>
      <c r="AX55" s="1854"/>
      <c r="AY55" s="1854"/>
      <c r="AZ55" s="1854"/>
      <c r="BA55" s="1854"/>
      <c r="BB55" s="1854"/>
      <c r="BC55" s="1847"/>
      <c r="BD55" s="220"/>
      <c r="BE55" s="220"/>
      <c r="BF55" s="1190" t="s">
        <v>942</v>
      </c>
      <c r="BG55" s="1190" t="s">
        <v>940</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943</v>
      </c>
      <c r="AD56" s="151" t="s">
        <v>586</v>
      </c>
      <c r="AE56" s="66"/>
      <c r="AF56" s="66"/>
      <c r="AG56" s="66"/>
      <c r="AH56" s="66"/>
      <c r="AI56" s="608"/>
      <c r="AJ56" s="1849"/>
      <c r="AK56" s="1849"/>
      <c r="AL56" s="66"/>
      <c r="AM56" s="66"/>
      <c r="AN56" s="66"/>
      <c r="AO56" s="66"/>
      <c r="AP56" s="66"/>
      <c r="AQ56" s="66"/>
      <c r="AR56" s="66"/>
      <c r="AS56" s="608"/>
      <c r="AT56" s="1849"/>
      <c r="AU56" s="1849"/>
      <c r="AV56" s="66"/>
      <c r="AW56" s="66"/>
      <c r="AX56" s="66"/>
      <c r="AY56" s="66"/>
      <c r="AZ56" s="66"/>
      <c r="BA56" s="66"/>
      <c r="BB56" s="66"/>
      <c r="BC56" s="74"/>
      <c r="BF56" s="1190" t="s">
        <v>944</v>
      </c>
      <c r="BG56" s="1190" t="s">
        <v>940</v>
      </c>
      <c r="BH56" s="1190" cm="1" t="str">
        <f t="array" ref="BH56:BH56">BH54</f>
        <v>0</v>
      </c>
      <c r="BI56" s="1191"/>
      <c r="BJ56" s="1191"/>
    </row>
    <row s="220" customFormat="1" customHeight="1" ht="14.625" hidden="1">
      <c r="E57" s="922">
        <v>15</v>
      </c>
      <c r="F57" s="920" cm="1" t="str">
        <f t="array" ref="F57:F57">OFFSET(G57,-1,-1)</f>
        <v>0</v>
      </c>
      <c r="T57" s="921">
        <f>F57&gt;0</f>
        <v>0</v>
      </c>
      <c r="W57" s="371" t="s">
        <v>945</v>
      </c>
      <c r="AB57" s="815"/>
      <c r="AC57" s="585" t="s">
        <v>946</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940</v>
      </c>
      <c r="BJ57" s="1191"/>
    </row>
    <row s="220" customFormat="1" customHeight="1" ht="14.625" hidden="1">
      <c r="E58" s="922">
        <v>15</v>
      </c>
      <c r="F58" s="920" cm="1" t="str">
        <f t="array" ref="F58:F58">OFFSET(G58,-1,-1)</f>
        <v>0</v>
      </c>
      <c r="T58" s="921">
        <f>F58&gt;0</f>
        <v>0</v>
      </c>
      <c r="AB58" s="213" t="s">
        <v>474</v>
      </c>
      <c r="AC58" s="340" t="s">
        <v>916</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894</v>
      </c>
      <c r="T60" s="921">
        <f>AND(F60&gt;0,Y60&gt;0)</f>
        <v>0</v>
      </c>
      <c r="W60" s="168" t="s">
        <v>235</v>
      </c>
      <c r="Y60" s="180">
        <v>0</v>
      </c>
      <c r="AA60" s="1513" t="s">
        <v>219</v>
      </c>
      <c r="AB60" s="151" t="str">
        <f>"2.3."&amp;Y60</f>
        <v>2.3.0</v>
      </c>
      <c r="AC60" s="601"/>
      <c r="AD60" s="151" t="s">
        <v>799</v>
      </c>
      <c r="AE60" s="588">
        <f>AE63+AE65</f>
        <v>0</v>
      </c>
      <c r="AF60" s="588">
        <f>AF63+AF65</f>
        <v>0</v>
      </c>
      <c r="AG60" s="588">
        <f>AG63+AG65</f>
        <v>0</v>
      </c>
      <c r="AH60" s="588">
        <f>AH63+AH65</f>
        <v>0</v>
      </c>
      <c r="AI60" s="588">
        <f>AI63+AI65</f>
        <v>0</v>
      </c>
      <c r="AJ60" s="1666">
        <f>AJ63+AJ65</f>
        <v>0</v>
      </c>
      <c r="AK60" s="1666">
        <f>AK63+AK65</f>
        <v>0</v>
      </c>
      <c r="AL60" s="65">
        <f>AL63+AL65</f>
        <v>0</v>
      </c>
      <c r="AM60" s="65">
        <f>AM63+AM65</f>
        <v>0</v>
      </c>
      <c r="AN60" s="65">
        <f>AN63+AN65</f>
        <v>0</v>
      </c>
      <c r="AO60" s="65">
        <f>AO63+AO65</f>
        <v>0</v>
      </c>
      <c r="AP60" s="65">
        <f>AP63+AP65</f>
        <v>0</v>
      </c>
      <c r="AQ60" s="65">
        <f>AQ63+AQ65</f>
        <v>0</v>
      </c>
      <c r="AR60" s="65">
        <f>AR63+AR65</f>
        <v>0</v>
      </c>
      <c r="AS60" s="588">
        <f>AS63+AS65</f>
        <v>0</v>
      </c>
      <c r="AT60" s="1666">
        <f>AT63+AT65</f>
        <v>0</v>
      </c>
      <c r="AU60" s="1666">
        <f>AU63+AU65</f>
        <v>0</v>
      </c>
      <c r="AV60" s="65">
        <f>AV63+AV65</f>
        <v>0</v>
      </c>
      <c r="AW60" s="65">
        <f>AW63+AW65</f>
        <v>0</v>
      </c>
      <c r="AX60" s="65">
        <f>AX63+AX65</f>
        <v>0</v>
      </c>
      <c r="AY60" s="65">
        <f>AY63+AY65</f>
        <v>0</v>
      </c>
      <c r="AZ60" s="65">
        <f>AZ63+AZ65</f>
        <v>0</v>
      </c>
      <c r="BA60" s="65">
        <f>BA63+BA65</f>
        <v>0</v>
      </c>
      <c r="BB60" s="65">
        <f>BB63+BB65</f>
        <v>0</v>
      </c>
      <c r="BC60" s="81"/>
      <c r="BF60" s="1190" t="s">
        <v>939</v>
      </c>
      <c r="BG60" s="1190" t="s">
        <v>947</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931</v>
      </c>
      <c r="T61" s="921">
        <f>AND(T60,L61="двухставочный")</f>
        <v>0</v>
      </c>
      <c r="AA61" s="1513"/>
      <c r="AB61" s="285"/>
      <c r="AC61" s="587" t="s">
        <v>933</v>
      </c>
      <c r="AD61" s="607" t="s">
        <v>799</v>
      </c>
      <c r="AE61" s="66"/>
      <c r="AF61" s="66"/>
      <c r="AG61" s="66"/>
      <c r="AH61" s="66"/>
      <c r="AI61" s="608"/>
      <c r="AJ61" s="1849"/>
      <c r="AK61" s="1849"/>
      <c r="AL61" s="66"/>
      <c r="AM61" s="66"/>
      <c r="AN61" s="66"/>
      <c r="AO61" s="66"/>
      <c r="AP61" s="66"/>
      <c r="AQ61" s="66"/>
      <c r="AR61" s="66"/>
      <c r="AS61" s="608"/>
      <c r="AT61" s="1849"/>
      <c r="AU61" s="1849"/>
      <c r="AV61" s="66"/>
      <c r="AW61" s="66"/>
      <c r="AX61" s="66"/>
      <c r="AY61" s="66"/>
      <c r="AZ61" s="66"/>
      <c r="BA61" s="66"/>
      <c r="BB61" s="66"/>
      <c r="BC61" s="105"/>
      <c r="BF61" s="1190" t="s">
        <v>941</v>
      </c>
      <c r="BG61" s="1190" t="s">
        <v>947</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910</v>
      </c>
      <c r="AD62" s="1515" t="s">
        <v>937</v>
      </c>
      <c r="AE62" s="1857"/>
      <c r="AF62" s="588">
        <f>IF(AF64=0,0,AF63/AF64*1000)</f>
        <v>0</v>
      </c>
      <c r="AG62" s="588">
        <f>IF(AG64=0,0,AG63/AG64*1000)</f>
        <v>0</v>
      </c>
      <c r="AH62" s="1857"/>
      <c r="AI62" s="588">
        <f>IF(AI64=0,0,AI63/AI64*1000)</f>
        <v>0</v>
      </c>
      <c r="AJ62" s="1858">
        <f>IF(AJ64=0,0,AJ63/AJ64*1000)</f>
        <v>0</v>
      </c>
      <c r="AK62" s="185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6"/>
      <c r="AU62" s="1666"/>
      <c r="AV62" s="1857"/>
      <c r="AW62" s="1857"/>
      <c r="AX62" s="1857"/>
      <c r="AY62" s="1857"/>
      <c r="AZ62" s="1857"/>
      <c r="BA62" s="1857"/>
      <c r="BB62" s="1857"/>
      <c r="BC62" s="1847"/>
      <c r="BD62" s="220"/>
      <c r="BE62" s="220"/>
      <c r="BF62" s="1190" t="s">
        <v>942</v>
      </c>
      <c r="BG62" s="1190" t="s">
        <v>947</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948</v>
      </c>
      <c r="AD63" s="151" t="s">
        <v>799</v>
      </c>
      <c r="AE63" s="65"/>
      <c r="AF63" s="65"/>
      <c r="AG63" s="65"/>
      <c r="AH63" s="65"/>
      <c r="AI63" s="583"/>
      <c r="AJ63" s="1666"/>
      <c r="AK63" s="1666"/>
      <c r="AL63" s="65"/>
      <c r="AM63" s="65"/>
      <c r="AN63" s="65"/>
      <c r="AO63" s="65"/>
      <c r="AP63" s="65"/>
      <c r="AQ63" s="65"/>
      <c r="AR63" s="65"/>
      <c r="AS63" s="583"/>
      <c r="AT63" s="1666"/>
      <c r="AU63" s="1666"/>
      <c r="AV63" s="65"/>
      <c r="AW63" s="65"/>
      <c r="AX63" s="65"/>
      <c r="AY63" s="65"/>
      <c r="AZ63" s="65"/>
      <c r="BA63" s="65"/>
      <c r="BB63" s="65"/>
      <c r="BC63" s="74"/>
      <c r="BF63" s="1190" t="s">
        <v>949</v>
      </c>
      <c r="BG63" s="1190" t="s">
        <v>947</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943</v>
      </c>
      <c r="AD64" s="151" t="s">
        <v>586</v>
      </c>
      <c r="AE64" s="65"/>
      <c r="AF64" s="65"/>
      <c r="AG64" s="65"/>
      <c r="AH64" s="65"/>
      <c r="AI64" s="583"/>
      <c r="AJ64" s="1666"/>
      <c r="AK64" s="1666"/>
      <c r="AL64" s="65"/>
      <c r="AM64" s="65"/>
      <c r="AN64" s="65"/>
      <c r="AO64" s="65"/>
      <c r="AP64" s="65"/>
      <c r="AQ64" s="65"/>
      <c r="AR64" s="65"/>
      <c r="AS64" s="583"/>
      <c r="AT64" s="1666"/>
      <c r="AU64" s="1666"/>
      <c r="AV64" s="65"/>
      <c r="AW64" s="65"/>
      <c r="AX64" s="65"/>
      <c r="AY64" s="65"/>
      <c r="AZ64" s="65"/>
      <c r="BA64" s="65"/>
      <c r="BB64" s="65"/>
      <c r="BC64" s="74"/>
      <c r="BF64" s="1190" t="s">
        <v>950</v>
      </c>
      <c r="BG64" s="1190" t="s">
        <v>947</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951</v>
      </c>
      <c r="AD65" s="151" t="s">
        <v>921</v>
      </c>
      <c r="AE65" s="65"/>
      <c r="AF65" s="65"/>
      <c r="AG65" s="65"/>
      <c r="AH65" s="65"/>
      <c r="AI65" s="583"/>
      <c r="AJ65" s="1666"/>
      <c r="AK65" s="1666"/>
      <c r="AL65" s="65"/>
      <c r="AM65" s="65"/>
      <c r="AN65" s="65"/>
      <c r="AO65" s="65"/>
      <c r="AP65" s="65"/>
      <c r="AQ65" s="65"/>
      <c r="AR65" s="65"/>
      <c r="AS65" s="583"/>
      <c r="AT65" s="1666"/>
      <c r="AU65" s="1666"/>
      <c r="AV65" s="65"/>
      <c r="AW65" s="65"/>
      <c r="AX65" s="65"/>
      <c r="AY65" s="65"/>
      <c r="AZ65" s="65"/>
      <c r="BA65" s="65"/>
      <c r="BB65" s="65"/>
      <c r="BC65" s="74"/>
      <c r="BF65" s="1190" t="s">
        <v>952</v>
      </c>
      <c r="BG65" s="1190" t="s">
        <v>947</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953</v>
      </c>
      <c r="AD66" s="151" t="s">
        <v>684</v>
      </c>
      <c r="AE66" s="65"/>
      <c r="AF66" s="65"/>
      <c r="AG66" s="65"/>
      <c r="AH66" s="65"/>
      <c r="AI66" s="583"/>
      <c r="AJ66" s="1666"/>
      <c r="AK66" s="1666"/>
      <c r="AL66" s="65"/>
      <c r="AM66" s="65"/>
      <c r="AN66" s="65"/>
      <c r="AO66" s="65"/>
      <c r="AP66" s="65"/>
      <c r="AQ66" s="65"/>
      <c r="AR66" s="65"/>
      <c r="AS66" s="583"/>
      <c r="AT66" s="1666"/>
      <c r="AU66" s="1666"/>
      <c r="AV66" s="65"/>
      <c r="AW66" s="65"/>
      <c r="AX66" s="65"/>
      <c r="AY66" s="65"/>
      <c r="AZ66" s="65"/>
      <c r="BA66" s="65"/>
      <c r="BB66" s="65"/>
      <c r="BC66" s="74"/>
      <c r="BF66" s="1190" t="s">
        <v>954</v>
      </c>
      <c r="BG66" s="1190" t="s">
        <v>947</v>
      </c>
      <c r="BH66" s="1190" cm="1" t="str">
        <f t="array" ref="BH66:BH66">BH65</f>
        <v>0</v>
      </c>
      <c r="BI66" s="1191"/>
      <c r="BJ66" s="1191"/>
    </row>
    <row s="220" customFormat="1" customHeight="1" ht="11.115" hidden="1">
      <c r="E67" s="922">
        <v>11.4</v>
      </c>
      <c r="F67" s="920" cm="1" t="str">
        <f t="array" ref="F67:F67">OFFSET(G67,-1,-1)</f>
        <v>0</v>
      </c>
      <c r="T67" s="921">
        <f>F67&gt;0</f>
        <v>0</v>
      </c>
      <c r="W67" s="371" t="s">
        <v>955</v>
      </c>
      <c r="AB67" s="586"/>
      <c r="AC67" s="573" t="s">
        <v>946</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947</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337</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AE69+AE88</f>
        <v>0</v>
      </c>
      <c r="AF68" s="377">
        <f>AF69+AF88</f>
        <v>140942.32</v>
      </c>
      <c r="AG68" s="377">
        <f>AG69+AG88</f>
        <v>140942.32</v>
      </c>
      <c r="AH68" s="377">
        <f>AH69+AH88</f>
        <v>0</v>
      </c>
      <c r="AI68" s="377">
        <f>AI69+AI88</f>
        <v>297312.05</v>
      </c>
      <c r="AJ68" s="377">
        <f>AJ69+AJ88</f>
        <v>0</v>
      </c>
      <c r="AK68" s="377">
        <f>AK69+AK88</f>
        <v>0</v>
      </c>
      <c r="AL68" s="377">
        <f>AL69+AL88</f>
        <v>0</v>
      </c>
      <c r="AM68" s="377">
        <f>AM69+AM88</f>
        <v>0</v>
      </c>
      <c r="AN68" s="377">
        <f>AN69+AN88</f>
        <v>0</v>
      </c>
      <c r="AO68" s="377">
        <f>AO69+AO88</f>
        <v>0</v>
      </c>
      <c r="AP68" s="377">
        <f>AP69+AP88</f>
        <v>0</v>
      </c>
      <c r="AQ68" s="377">
        <f>AQ69+AQ88</f>
        <v>0</v>
      </c>
      <c r="AR68" s="377">
        <f>AR69+AR88</f>
        <v>0</v>
      </c>
      <c r="AS68" s="377">
        <f>AS69+AS88</f>
        <v>0</v>
      </c>
      <c r="AT68" s="377">
        <f>AT69+AT88</f>
        <v>0</v>
      </c>
      <c r="AU68" s="377">
        <f>AU69+AU88</f>
        <v>0</v>
      </c>
      <c r="AV68" s="377">
        <f>AV69+AV88</f>
        <v>0</v>
      </c>
      <c r="AW68" s="377">
        <f>AW69+AW88</f>
        <v>0</v>
      </c>
      <c r="AX68" s="377">
        <f>AX69+AX88</f>
        <v>0</v>
      </c>
      <c r="AY68" s="377">
        <f>AY69+AY88</f>
        <v>0</v>
      </c>
      <c r="AZ68" s="377">
        <f>AZ69+AZ88</f>
        <v>0</v>
      </c>
      <c r="BA68" s="377">
        <f>BA69+BA88</f>
        <v>0</v>
      </c>
      <c r="BB68" s="377">
        <f>BB69+BB88</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893</v>
      </c>
      <c r="H69" s="1444"/>
      <c r="I69" s="212" t="s">
        <v>894</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895</v>
      </c>
      <c r="AD69" s="277" t="s">
        <v>799</v>
      </c>
      <c r="AE69" s="609">
        <f>SUMIF($I74:$I86,$I69,AE74:AE86)</f>
        <v>0</v>
      </c>
      <c r="AF69" s="609">
        <f>SUMIF($I74:$I86,$I69,AF74:AF86)</f>
        <v>0</v>
      </c>
      <c r="AG69" s="609">
        <f>SUMIF($I74:$I86,$I69,AG74:AG86)</f>
        <v>0</v>
      </c>
      <c r="AH69" s="609">
        <f>SUMIF($I74:$I86,$I69,AH74:AH86)</f>
        <v>0</v>
      </c>
      <c r="AI69" s="609">
        <f>SUMIF($I74:$I86,$I69,AI74:AI86)</f>
        <v>0</v>
      </c>
      <c r="AJ69" s="1834">
        <f>SUMIF($I74:$I86,$I69,AJ74:AJ86)</f>
        <v>0</v>
      </c>
      <c r="AK69" s="1834">
        <f>SUMIF($I74:$I86,$I69,AK74:AK86)</f>
        <v>0</v>
      </c>
      <c r="AL69" s="1859">
        <f>SUMIF($I74:$I86,$I69,AL74:AL86)</f>
        <v>0</v>
      </c>
      <c r="AM69" s="1859">
        <f>SUMIF($I74:$I86,$I69,AM74:AM86)</f>
        <v>0</v>
      </c>
      <c r="AN69" s="1859">
        <f>SUMIF($I74:$I86,$I69,AN74:AN86)</f>
        <v>0</v>
      </c>
      <c r="AO69" s="1859">
        <f>SUMIF($I74:$I86,$I69,AO74:AO86)</f>
        <v>0</v>
      </c>
      <c r="AP69" s="1859">
        <f>SUMIF($I74:$I86,$I69,AP74:AP86)</f>
        <v>0</v>
      </c>
      <c r="AQ69" s="1859">
        <f>SUMIF($I74:$I86,$I69,AQ74:AQ86)</f>
        <v>0</v>
      </c>
      <c r="AR69" s="1859">
        <f>SUMIF($I74:$I86,$I69,AR74:AR86)</f>
        <v>0</v>
      </c>
      <c r="AS69" s="609">
        <f>SUMIF($I74:$I86,$I69,AS74:AS86)</f>
        <v>0</v>
      </c>
      <c r="AT69" s="1834">
        <f>SUMIF($I74:$I86,$I69,AT74:AT86)</f>
        <v>0</v>
      </c>
      <c r="AU69" s="1834">
        <f>SUMIF($I74:$I86,$I69,AU74:AU86)</f>
        <v>0</v>
      </c>
      <c r="AV69" s="1859">
        <f>SUMIF($I74:$I86,$I69,AV74:AV86)</f>
        <v>0</v>
      </c>
      <c r="AW69" s="1859">
        <f>SUMIF($I74:$I86,$I69,AW74:AW86)</f>
        <v>0</v>
      </c>
      <c r="AX69" s="1859">
        <f>SUMIF($I74:$I86,$I69,AX74:AX86)</f>
        <v>0</v>
      </c>
      <c r="AY69" s="1859">
        <f>SUMIF($I74:$I86,$I69,AY74:AY86)</f>
        <v>0</v>
      </c>
      <c r="AZ69" s="1859">
        <f>SUMIF($I74:$I86,$I69,AZ74:AZ86)</f>
        <v>0</v>
      </c>
      <c r="BA69" s="1859">
        <f>SUMIF($I74:$I86,$I69,BA74:BA86)</f>
        <v>0</v>
      </c>
      <c r="BB69" s="1859">
        <f>SUMIF($I74:$I86,$I69,BB74:BB86)</f>
        <v>0</v>
      </c>
      <c r="BC69" s="1828"/>
      <c r="BD69" s="1444"/>
      <c r="BE69" s="1444"/>
      <c r="BF69" s="1171" t="s">
        <v>896</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436</v>
      </c>
      <c r="AC70" s="273" t="s">
        <v>897</v>
      </c>
      <c r="AD70" s="167" t="s">
        <v>722</v>
      </c>
      <c r="AE70" s="264">
        <f>SUMIF($AD74:$AD86,$AD70,AE74:AE86)</f>
        <v>0</v>
      </c>
      <c r="AF70" s="264">
        <f>SUMIF($AD74:$AD86,$AD70,AF74:AF86)</f>
        <v>0</v>
      </c>
      <c r="AG70" s="264">
        <f>SUMIF($AD74:$AD86,$AD70,AG74:AG86)</f>
        <v>0</v>
      </c>
      <c r="AH70" s="264">
        <f>SUMIF($AD74:$AD86,$AD70,AH74:AH86)</f>
        <v>0</v>
      </c>
      <c r="AI70" s="264">
        <f>SUMIF($AD74:$AD86,$AD70,AI74:AI86)</f>
        <v>0</v>
      </c>
      <c r="AJ70" s="1661">
        <f>SUMIF($AD74:$AD86,$AD70,AJ74:AJ86)</f>
        <v>0</v>
      </c>
      <c r="AK70" s="1661">
        <f>SUMIF($AD74:$AD86,$AD70,AK74:AK86)</f>
        <v>0</v>
      </c>
      <c r="AL70" s="1669">
        <f>SUMIF($AD74:$AD86,$AD70,AL74:AL86)</f>
        <v>0</v>
      </c>
      <c r="AM70" s="1669">
        <f>SUMIF($AD74:$AD86,$AD70,AM74:AM86)</f>
        <v>0</v>
      </c>
      <c r="AN70" s="1669">
        <f>SUMIF($AD74:$AD86,$AD70,AN74:AN86)</f>
        <v>0</v>
      </c>
      <c r="AO70" s="1669">
        <f>SUMIF($AD74:$AD86,$AD70,AO74:AO86)</f>
        <v>0</v>
      </c>
      <c r="AP70" s="1669">
        <f>SUMIF($AD74:$AD86,$AD70,AP74:AP86)</f>
        <v>0</v>
      </c>
      <c r="AQ70" s="1669">
        <f>SUMIF($AD74:$AD86,$AD70,AQ74:AQ86)</f>
        <v>0</v>
      </c>
      <c r="AR70" s="1669">
        <f>SUMIF($AD74:$AD86,$AD70,AR74:AR86)</f>
        <v>0</v>
      </c>
      <c r="AS70" s="264">
        <f>SUMIF($AD74:$AD86,$AD70,AS74:AS86)</f>
        <v>0</v>
      </c>
      <c r="AT70" s="1661">
        <f>SUMIF($AD74:$AD86,$AD70,AT74:AT86)</f>
        <v>0</v>
      </c>
      <c r="AU70" s="1661">
        <f>SUMIF($AD74:$AD86,$AD70,AU74:AU86)</f>
        <v>0</v>
      </c>
      <c r="AV70" s="1669">
        <f>SUMIF($AD74:$AD86,$AD70,AV74:AV86)</f>
        <v>0</v>
      </c>
      <c r="AW70" s="1669">
        <f>SUMIF($AD74:$AD86,$AD70,AW74:AW86)</f>
        <v>0</v>
      </c>
      <c r="AX70" s="1669">
        <f>SUMIF($AD74:$AD86,$AD70,AX74:AX86)</f>
        <v>0</v>
      </c>
      <c r="AY70" s="1669">
        <f>SUMIF($AD74:$AD86,$AD70,AY74:AY86)</f>
        <v>0</v>
      </c>
      <c r="AZ70" s="1669">
        <f>SUMIF($AD74:$AD86,$AD70,AZ74:AZ86)</f>
        <v>0</v>
      </c>
      <c r="BA70" s="1669">
        <f>SUMIF($AD74:$AD86,$AD70,BA74:BA86)</f>
        <v>0</v>
      </c>
      <c r="BB70" s="1669">
        <f>SUMIF($AD74:$AD86,$AD70,BB74:BB86)</f>
        <v>0</v>
      </c>
      <c r="BC70" s="1792"/>
      <c r="BD70" s="1444"/>
      <c r="BE70" s="1444"/>
      <c r="BF70" s="1182" t="s">
        <v>898</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899</v>
      </c>
      <c r="AC71" s="273" t="s">
        <v>900</v>
      </c>
      <c r="AD71" s="167" t="s">
        <v>586</v>
      </c>
      <c r="AE71" s="1860">
        <v>331148.67</v>
      </c>
      <c r="AF71" s="1860">
        <v>328820.48</v>
      </c>
      <c r="AG71" s="1860">
        <f>IF($K68="передача тепловой энергии",_xlfn.SUMIFS('Баланс Тр'!AG$27:AG$43,'Баланс Тр'!$F$27:$F$43,$F71,'Баланс Тр'!$AB$27:$AB$43,"3"),_xlfn.SUMIFS('Баланс Пр'!AG$27:AG$165,'Баланс Пр'!$F$27:$F$165,$F71,'Баланс Пр'!$AB$27:$AB$165,"9.1"))</f>
        <v>328820.48</v>
      </c>
      <c r="AH71" s="1860">
        <v>331148.67</v>
      </c>
      <c r="AI71" s="308">
        <v>324202.83797</v>
      </c>
      <c r="AJ71" s="1835">
        <f>IF($K68="передача тепловой энергии",_xlfn.SUMIFS('Баланс Тр'!AJ$27:AJ$43,'Баланс Тр'!$F$27:$F$43,$F71,'Баланс Тр'!$AB$27:$AB$43,"3"),_xlfn.SUMIFS('Баланс Пр'!AJ$27:AJ$165,'Баланс Пр'!$F$27:$F$165,$F71,'Баланс Пр'!$AB$27:$AB$165,"9.1"))</f>
        <v>0</v>
      </c>
      <c r="AK71" s="1835">
        <f>IF($K68="передача тепловой энергии",_xlfn.SUMIFS('Баланс Тр'!AK$27:AK$43,'Баланс Тр'!$F$27:$F$43,$F71,'Баланс Тр'!$AB$27:$AB$43,"3"),_xlfn.SUMIFS('Баланс Пр'!AK$27:AK$165,'Баланс Пр'!$F$27:$F$165,$F71,'Баланс Пр'!$AB$27:$AB$165,"9.1"))</f>
        <v>0</v>
      </c>
      <c r="AL71" s="1860">
        <f>IF($K68="передача тепловой энергии",_xlfn.SUMIFS('Баланс Тр'!AL$27:AL$43,'Баланс Тр'!$F$27:$F$43,$F71,'Баланс Тр'!$AB$27:$AB$43,"3"),_xlfn.SUMIFS('Баланс Пр'!AL$27:AL$165,'Баланс Пр'!$F$27:$F$165,$F71,'Баланс Пр'!$AB$27:$AB$165,"9.1"))</f>
        <v>0</v>
      </c>
      <c r="AM71" s="1860">
        <f>IF($K68="передача тепловой энергии",_xlfn.SUMIFS('Баланс Тр'!AM$27:AM$43,'Баланс Тр'!$F$27:$F$43,$F71,'Баланс Тр'!$AB$27:$AB$43,"3"),_xlfn.SUMIFS('Баланс Пр'!AM$27:AM$165,'Баланс Пр'!$F$27:$F$165,$F71,'Баланс Пр'!$AB$27:$AB$165,"9.1"))</f>
        <v>0</v>
      </c>
      <c r="AN71" s="1860">
        <f>IF($K68="передача тепловой энергии",_xlfn.SUMIFS('Баланс Тр'!AN$27:AN$43,'Баланс Тр'!$F$27:$F$43,$F71,'Баланс Тр'!$AB$27:$AB$43,"3"),_xlfn.SUMIFS('Баланс Пр'!AN$27:AN$165,'Баланс Пр'!$F$27:$F$165,$F71,'Баланс Пр'!$AB$27:$AB$165,"9.1"))</f>
        <v>0</v>
      </c>
      <c r="AO71" s="1860">
        <f>IF($K68="передача тепловой энергии",_xlfn.SUMIFS('Баланс Тр'!AO$27:AO$43,'Баланс Тр'!$F$27:$F$43,$F71,'Баланс Тр'!$AB$27:$AB$43,"3"),_xlfn.SUMIFS('Баланс Пр'!AO$27:AO$165,'Баланс Пр'!$F$27:$F$165,$F71,'Баланс Пр'!$AB$27:$AB$165,"9.1"))</f>
        <v>0</v>
      </c>
      <c r="AP71" s="1860">
        <f>IF($K68="передача тепловой энергии",_xlfn.SUMIFS('Баланс Тр'!AP$27:AP$43,'Баланс Тр'!$F$27:$F$43,$F71,'Баланс Тр'!$AB$27:$AB$43,"3"),_xlfn.SUMIFS('Баланс Пр'!AP$27:AP$165,'Баланс Пр'!$F$27:$F$165,$F71,'Баланс Пр'!$AB$27:$AB$165,"9.1"))</f>
        <v>0</v>
      </c>
      <c r="AQ71" s="1860">
        <f>IF($K68="передача тепловой энергии",_xlfn.SUMIFS('Баланс Тр'!AQ$27:AQ$43,'Баланс Тр'!$F$27:$F$43,$F71,'Баланс Тр'!$AB$27:$AB$43,"3"),_xlfn.SUMIFS('Баланс Пр'!AQ$27:AQ$165,'Баланс Пр'!$F$27:$F$165,$F71,'Баланс Пр'!$AB$27:$AB$165,"9.1"))</f>
        <v>0</v>
      </c>
      <c r="AR71" s="1860">
        <f>IF($K68="передача тепловой энергии",_xlfn.SUMIFS('Баланс Тр'!AR$27:AR$43,'Баланс Тр'!$F$27:$F$43,$F71,'Баланс Тр'!$AB$27:$AB$43,"3"),_xlfn.SUMIFS('Баланс Пр'!AR$27:AR$165,'Баланс Пр'!$F$27:$F$165,$F71,'Баланс Пр'!$AB$27:$AB$165,"9.1"))</f>
        <v>0</v>
      </c>
      <c r="AS71" s="308">
        <v>331148.67</v>
      </c>
      <c r="AT71" s="1835">
        <f>IF($K68="передача тепловой энергии",_xlfn.SUMIFS('Баланс Тр'!AT$27:AT$43,'Баланс Тр'!$F$27:$F$43,$F71,'Баланс Тр'!$AB$27:$AB$43,"3"),_xlfn.SUMIFS('Баланс Пр'!AT$27:AT$165,'Баланс Пр'!$F$27:$F$165,$F71,'Баланс Пр'!$AB$27:$AB$165,"9.1"))</f>
        <v>0</v>
      </c>
      <c r="AU71" s="1835">
        <f>IF($K68="передача тепловой энергии",_xlfn.SUMIFS('Баланс Тр'!AU$27:AU$43,'Баланс Тр'!$F$27:$F$43,$F71,'Баланс Тр'!$AB$27:$AB$43,"3"),_xlfn.SUMIFS('Баланс Пр'!AU$27:AU$165,'Баланс Пр'!$F$27:$F$165,$F71,'Баланс Пр'!$AB$27:$AB$165,"9.1"))</f>
        <v>0</v>
      </c>
      <c r="AV71" s="1860">
        <f>IF($K68="передача тепловой энергии",_xlfn.SUMIFS('Баланс Тр'!AV$27:AV$43,'Баланс Тр'!$F$27:$F$43,$F71,'Баланс Тр'!$AB$27:$AB$43,"3"),_xlfn.SUMIFS('Баланс Пр'!AV$27:AV$165,'Баланс Пр'!$F$27:$F$165,$F71,'Баланс Пр'!$AB$27:$AB$165,"9.1"))</f>
        <v>0</v>
      </c>
      <c r="AW71" s="1860">
        <f>IF($K68="передача тепловой энергии",_xlfn.SUMIFS('Баланс Тр'!AW$27:AW$43,'Баланс Тр'!$F$27:$F$43,$F71,'Баланс Тр'!$AB$27:$AB$43,"3"),_xlfn.SUMIFS('Баланс Пр'!AW$27:AW$165,'Баланс Пр'!$F$27:$F$165,$F71,'Баланс Пр'!$AB$27:$AB$165,"9.1"))</f>
        <v>0</v>
      </c>
      <c r="AX71" s="1860">
        <f>IF($K68="передача тепловой энергии",_xlfn.SUMIFS('Баланс Тр'!AX$27:AX$43,'Баланс Тр'!$F$27:$F$43,$F71,'Баланс Тр'!$AB$27:$AB$43,"3"),_xlfn.SUMIFS('Баланс Пр'!AX$27:AX$165,'Баланс Пр'!$F$27:$F$165,$F71,'Баланс Пр'!$AB$27:$AB$165,"9.1"))</f>
        <v>0</v>
      </c>
      <c r="AY71" s="1860">
        <f>IF($K68="передача тепловой энергии",_xlfn.SUMIFS('Баланс Тр'!AY$27:AY$43,'Баланс Тр'!$F$27:$F$43,$F71,'Баланс Тр'!$AB$27:$AB$43,"3"),_xlfn.SUMIFS('Баланс Пр'!AY$27:AY$165,'Баланс Пр'!$F$27:$F$165,$F71,'Баланс Пр'!$AB$27:$AB$165,"9.1"))</f>
        <v>0</v>
      </c>
      <c r="AZ71" s="1860">
        <f>IF($K68="передача тепловой энергии",_xlfn.SUMIFS('Баланс Тр'!AZ$27:AZ$43,'Баланс Тр'!$F$27:$F$43,$F71,'Баланс Тр'!$AB$27:$AB$43,"3"),_xlfn.SUMIFS('Баланс Пр'!AZ$27:AZ$165,'Баланс Пр'!$F$27:$F$165,$F71,'Баланс Пр'!$AB$27:$AB$165,"9.1"))</f>
        <v>0</v>
      </c>
      <c r="BA71" s="1860">
        <f>IF($K68="передача тепловой энергии",_xlfn.SUMIFS('Баланс Тр'!BA$27:BA$43,'Баланс Тр'!$F$27:$F$43,$F71,'Баланс Тр'!$AB$27:$AB$43,"3"),_xlfn.SUMIFS('Баланс Пр'!BA$27:BA$165,'Баланс Пр'!$F$27:$F$165,$F71,'Баланс Пр'!$AB$27:$AB$165,"9.1"))</f>
        <v>0</v>
      </c>
      <c r="BB71" s="1860">
        <f>IF($K68="передача тепловой энергии",_xlfn.SUMIFS('Баланс Тр'!BB$27:BB$43,'Баланс Тр'!$F$27:$F$43,$F71,'Баланс Тр'!$AB$27:$AB$43,"3"),_xlfn.SUMIFS('Баланс Пр'!BB$27:BB$165,'Баланс Пр'!$F$27:$F$165,$F71,'Баланс Пр'!$AB$27:$AB$165,"9.1"))</f>
        <v>0</v>
      </c>
      <c r="BC71" s="1792"/>
      <c r="BD71" s="1444"/>
      <c r="BE71" s="1444"/>
      <c r="BF71" s="1182" t="s">
        <v>748</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901</v>
      </c>
      <c r="AC72" s="273" t="s">
        <v>902</v>
      </c>
      <c r="AD72" s="167" t="s">
        <v>903</v>
      </c>
      <c r="AE72" s="264">
        <f>IF(AE70=0,0,AE69/AE70)</f>
        <v>0</v>
      </c>
      <c r="AF72" s="264">
        <f>IF(AF70=0,0,AF69/AF70)</f>
        <v>0</v>
      </c>
      <c r="AG72" s="264">
        <f>IF(AG70=0,0,AG69/AG70)</f>
        <v>0</v>
      </c>
      <c r="AH72" s="264">
        <f>IF(AH70=0,0,AH69/AH70)</f>
        <v>0</v>
      </c>
      <c r="AI72" s="264">
        <f>IF(AI70=0,0,AI69/AI70)</f>
        <v>0</v>
      </c>
      <c r="AJ72" s="1661">
        <f>IF(AJ70=0,0,AJ69/AJ70)</f>
        <v>0</v>
      </c>
      <c r="AK72" s="1661">
        <f>IF(AK70=0,0,AK69/AK70)</f>
        <v>0</v>
      </c>
      <c r="AL72" s="1669">
        <f>IF(AL70=0,0,AL69/AL70)</f>
        <v>0</v>
      </c>
      <c r="AM72" s="1669">
        <f>IF(AM70=0,0,AM69/AM70)</f>
        <v>0</v>
      </c>
      <c r="AN72" s="1669">
        <f>IF(AN70=0,0,AN69/AN70)</f>
        <v>0</v>
      </c>
      <c r="AO72" s="1669">
        <f>IF(AO70=0,0,AO69/AO70)</f>
        <v>0</v>
      </c>
      <c r="AP72" s="1669">
        <f>IF(AP70=0,0,AP69/AP70)</f>
        <v>0</v>
      </c>
      <c r="AQ72" s="1669">
        <f>IF(AQ70=0,0,AQ69/AQ70)</f>
        <v>0</v>
      </c>
      <c r="AR72" s="1669">
        <f>IF(AR70=0,0,AR69/AR70)</f>
        <v>0</v>
      </c>
      <c r="AS72" s="264">
        <f>IF(AS70=0,0,AS69/AS70)</f>
        <v>0</v>
      </c>
      <c r="AT72" s="1661">
        <f>IF(AT70=0,0,AT69/AT70)</f>
        <v>0</v>
      </c>
      <c r="AU72" s="1661">
        <f>IF(AU70=0,0,AU69/AU70)</f>
        <v>0</v>
      </c>
      <c r="AV72" s="1669">
        <f>IF(AV70=0,0,AV69/AV70)</f>
        <v>0</v>
      </c>
      <c r="AW72" s="1669">
        <f>IF(AW70=0,0,AW69/AW70)</f>
        <v>0</v>
      </c>
      <c r="AX72" s="1669">
        <f>IF(AX70=0,0,AX69/AX70)</f>
        <v>0</v>
      </c>
      <c r="AY72" s="1669">
        <f>IF(AY70=0,0,AY69/AY70)</f>
        <v>0</v>
      </c>
      <c r="AZ72" s="1669">
        <f>IF(AZ70=0,0,AZ69/AZ70)</f>
        <v>0</v>
      </c>
      <c r="BA72" s="1669">
        <f>IF(BA70=0,0,BA69/BA70)</f>
        <v>0</v>
      </c>
      <c r="BB72" s="1669">
        <f>IF(BB70=0,0,BB69/BB70)</f>
        <v>0</v>
      </c>
      <c r="BC72" s="1792"/>
      <c r="BD72" s="1444"/>
      <c r="BE72" s="1444"/>
      <c r="BF72" s="1182" t="s">
        <v>904</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905</v>
      </c>
      <c r="AC73" s="273" t="s">
        <v>906</v>
      </c>
      <c r="AD73" s="167" t="s">
        <v>734</v>
      </c>
      <c r="AE73" s="384">
        <f>IF(AE71=0,0,AE70/AE71)*1000</f>
        <v>0</v>
      </c>
      <c r="AF73" s="384">
        <f>IF(AF71=0,0,AF70/AF71)*1000</f>
        <v>0</v>
      </c>
      <c r="AG73" s="384">
        <f>IF(AG71=0,0,AG70/AG71)*1000</f>
        <v>0</v>
      </c>
      <c r="AH73" s="384">
        <f>IF(AH71=0,0,AH70/AH71)*1000</f>
        <v>0</v>
      </c>
      <c r="AI73" s="384">
        <f>IF(AI71=0,0,AI70/AI71)*1000</f>
        <v>0</v>
      </c>
      <c r="AJ73" s="1836">
        <f>IF(AJ71=0,0,AJ70/AJ71)*1000</f>
        <v>0</v>
      </c>
      <c r="AK73" s="1836">
        <f>IF(AK71=0,0,AK70/AK71)*1000</f>
        <v>0</v>
      </c>
      <c r="AL73" s="1862">
        <f>IF(AL71=0,0,AL70/AL71)*1000</f>
        <v>0</v>
      </c>
      <c r="AM73" s="1862">
        <f>IF(AM71=0,0,AM70/AM71)*1000</f>
        <v>0</v>
      </c>
      <c r="AN73" s="1862">
        <f>IF(AN71=0,0,AN70/AN71)*1000</f>
        <v>0</v>
      </c>
      <c r="AO73" s="1862">
        <f>IF(AO71=0,0,AO70/AO71)*1000</f>
        <v>0</v>
      </c>
      <c r="AP73" s="1862">
        <f>IF(AP71=0,0,AP70/AP71)*1000</f>
        <v>0</v>
      </c>
      <c r="AQ73" s="1862">
        <f>IF(AQ71=0,0,AQ70/AQ71)*1000</f>
        <v>0</v>
      </c>
      <c r="AR73" s="1862">
        <f>IF(AR71=0,0,AR70/AR71)*1000</f>
        <v>0</v>
      </c>
      <c r="AS73" s="384">
        <f>IF(AS71=0,0,AS70/AS71)*1000</f>
        <v>0</v>
      </c>
      <c r="AT73" s="1836">
        <f>IF(AT71=0,0,AT70/AT71)*1000</f>
        <v>0</v>
      </c>
      <c r="AU73" s="1836">
        <f>IF(AU71=0,0,AU70/AU71)*1000</f>
        <v>0</v>
      </c>
      <c r="AV73" s="1862">
        <f>IF(AV71=0,0,AV70/AV71)*1000</f>
        <v>0</v>
      </c>
      <c r="AW73" s="1862">
        <f>IF(AW71=0,0,AW70/AW71)*1000</f>
        <v>0</v>
      </c>
      <c r="AX73" s="1862">
        <f>IF(AX71=0,0,AX70/AX71)*1000</f>
        <v>0</v>
      </c>
      <c r="AY73" s="1862">
        <f>IF(AY71=0,0,AY70/AY71)*1000</f>
        <v>0</v>
      </c>
      <c r="AZ73" s="1862">
        <f>IF(AZ71=0,0,AZ70/AZ71)*1000</f>
        <v>0</v>
      </c>
      <c r="BA73" s="1862">
        <f>IF(BA71=0,0,BA70/BA71)*1000</f>
        <v>0</v>
      </c>
      <c r="BB73" s="1862">
        <f>IF(BB71=0,0,BB70/BB71)*1000</f>
        <v>0</v>
      </c>
      <c r="BC73" s="1792"/>
      <c r="BD73" s="1444"/>
      <c r="BE73" s="1444"/>
      <c r="BF73" s="1182" t="s">
        <v>725</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907</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B75" s="1444"/>
      <c r="C75" s="1444"/>
      <c r="D75" s="1444"/>
      <c r="E75" s="800">
        <v>17.1</v>
      </c>
      <c r="F75" s="920" cm="1" t="str">
        <f t="array" ref="F75:F75">OFFSET(G75,-1,-1)</f>
        <v>1</v>
      </c>
      <c r="G75" s="1444"/>
      <c r="H75" s="210" cm="1" t="str">
        <f t="array" ref="H75:H75">AC75</f>
        <v>0</v>
      </c>
      <c r="I75" s="212" t="s">
        <v>894</v>
      </c>
      <c r="J75" s="1444"/>
      <c r="K75" s="1444"/>
      <c r="L75" s="1444"/>
      <c r="M75" s="1444"/>
      <c r="N75" s="1444"/>
      <c r="O75" s="1444"/>
      <c r="P75" s="1444"/>
      <c r="Q75" s="1444"/>
      <c r="R75" s="1444"/>
      <c r="S75" s="155"/>
      <c r="T75" s="921">
        <f>AND(F75&gt;0,Y75&gt;0)</f>
        <v>0</v>
      </c>
      <c r="U75" s="1444"/>
      <c r="V75" s="1444"/>
      <c r="W75" s="168" t="s">
        <v>235</v>
      </c>
      <c r="X75" s="1444"/>
      <c r="Y75" s="168">
        <v>0</v>
      </c>
      <c r="Z75" s="1444"/>
      <c r="AA75" s="1385" t="s">
        <v>219</v>
      </c>
      <c r="AB75" s="213" t="str">
        <f>"1.5."&amp;Y75</f>
        <v>1.5.0</v>
      </c>
      <c r="AC75" s="101"/>
      <c r="AD75" s="153" t="s">
        <v>799</v>
      </c>
      <c r="AE75" s="1838">
        <f>AE76*AE77</f>
        <v>0</v>
      </c>
      <c r="AF75" s="59"/>
      <c r="AG75" s="59"/>
      <c r="AH75" s="1838">
        <f>AH76*AH77</f>
        <v>0</v>
      </c>
      <c r="AI75" s="209"/>
      <c r="AJ75" s="1661"/>
      <c r="AK75" s="1661"/>
      <c r="AL75" s="59"/>
      <c r="AM75" s="59"/>
      <c r="AN75" s="59"/>
      <c r="AO75" s="59"/>
      <c r="AP75" s="59"/>
      <c r="AQ75" s="59"/>
      <c r="AR75" s="59"/>
      <c r="AS75" s="1839">
        <f>AS76*AS77</f>
        <v>0</v>
      </c>
      <c r="AT75" s="1839">
        <f>AT76*AT77</f>
        <v>0</v>
      </c>
      <c r="AU75" s="1839">
        <f>AU76*AU77</f>
        <v>0</v>
      </c>
      <c r="AV75" s="1838">
        <f>AV76*AV77</f>
        <v>0</v>
      </c>
      <c r="AW75" s="1838">
        <f>AW76*AW77</f>
        <v>0</v>
      </c>
      <c r="AX75" s="1838">
        <f>AX76*AX77</f>
        <v>0</v>
      </c>
      <c r="AY75" s="1838">
        <f>AY76*AY77</f>
        <v>0</v>
      </c>
      <c r="AZ75" s="1838">
        <f>AZ76*AZ77</f>
        <v>0</v>
      </c>
      <c r="BA75" s="1838">
        <f>BA76*BA77</f>
        <v>0</v>
      </c>
      <c r="BB75" s="1838">
        <f>BB76*BB77</f>
        <v>0</v>
      </c>
      <c r="BC75" s="74"/>
      <c r="BD75" s="1444"/>
      <c r="BE75" s="1444"/>
      <c r="BF75" s="1182" t="s">
        <v>908</v>
      </c>
      <c r="BG75" s="1188" t="s">
        <v>909</v>
      </c>
      <c r="BH75" s="1188" cm="1" t="str">
        <f t="array" ref="BH75:BH75">AC75</f>
        <v>0</v>
      </c>
      <c r="BI75" s="1189"/>
      <c r="BJ75" s="1189" t="b">
        <v>1</v>
      </c>
    </row>
    <row s="789" customFormat="1" customHeight="1" ht="16.5" hidden="1">
      <c r="B76" s="1444"/>
      <c r="C76" s="1444"/>
      <c r="D76" s="1444"/>
      <c r="E76" s="800">
        <v>17.1</v>
      </c>
      <c r="F76" s="920" cm="1" t="str">
        <f t="array" ref="F76:F76">OFFSET(G76,-1,-1)</f>
        <v>1</v>
      </c>
      <c r="G76" s="1444"/>
      <c r="H76" s="497" cm="1" t="str">
        <f t="array" ref="H76:H76">H75</f>
        <v>0</v>
      </c>
      <c r="I76" s="1444"/>
      <c r="J76" s="1444"/>
      <c r="K76" s="1444"/>
      <c r="L76" s="1444"/>
      <c r="M76" s="1444"/>
      <c r="N76" s="1444"/>
      <c r="O76" s="1444"/>
      <c r="P76" s="1444"/>
      <c r="Q76" s="1444"/>
      <c r="R76" s="1444"/>
      <c r="S76" s="1506"/>
      <c r="T76" s="943" cm="1" t="str">
        <f t="array" ref="T76:T76">T75</f>
        <v>false</v>
      </c>
      <c r="U76" s="1444"/>
      <c r="V76" s="1444"/>
      <c r="W76" s="1444"/>
      <c r="X76" s="1444"/>
      <c r="Y76" s="1444"/>
      <c r="Z76" s="1444"/>
      <c r="AA76" s="1385"/>
      <c r="AB76" s="812" t="str">
        <f>AB75&amp;".1"</f>
        <v>1.5.0.1</v>
      </c>
      <c r="AC76" s="781" t="s">
        <v>910</v>
      </c>
      <c r="AD76" s="1438" t="s">
        <v>911</v>
      </c>
      <c r="AE76" s="1840"/>
      <c r="AF76" s="1841">
        <f>IF(AF77=0,0,AF75/AF77)</f>
        <v>0</v>
      </c>
      <c r="AG76" s="1841">
        <f>IF(AG77=0,0,AG75/AG77)</f>
        <v>0</v>
      </c>
      <c r="AH76" s="1840"/>
      <c r="AI76" s="1841">
        <f>IF(AI77=0,0,AI75/AI77)</f>
        <v>0</v>
      </c>
      <c r="AJ76" s="1842">
        <f>IF(AJ77=0,0,AJ75/AJ77)</f>
        <v>0</v>
      </c>
      <c r="AK76" s="1842">
        <f>IF(AK77=0,0,AK75/AK77)</f>
        <v>0</v>
      </c>
      <c r="AL76" s="1841">
        <f>IF(AL77=0,0,AL75/AL77)</f>
        <v>0</v>
      </c>
      <c r="AM76" s="1841">
        <f>IF(AM77=0,0,AM75/AM77)</f>
        <v>0</v>
      </c>
      <c r="AN76" s="1841">
        <f>IF(AN77=0,0,AN75/AN77)</f>
        <v>0</v>
      </c>
      <c r="AO76" s="1841">
        <f>IF(AO77=0,0,AO75/AO77)</f>
        <v>0</v>
      </c>
      <c r="AP76" s="1841">
        <f>IF(AP77=0,0,AP75/AP77)</f>
        <v>0</v>
      </c>
      <c r="AQ76" s="1841">
        <f>IF(AQ77=0,0,AQ75/AQ77)</f>
        <v>0</v>
      </c>
      <c r="AR76" s="1841">
        <f>IF(AR77=0,0,AR75/AR77)</f>
        <v>0</v>
      </c>
      <c r="AS76" s="779"/>
      <c r="AT76" s="1843"/>
      <c r="AU76" s="1843"/>
      <c r="AV76" s="1840"/>
      <c r="AW76" s="1840"/>
      <c r="AX76" s="1840"/>
      <c r="AY76" s="1840"/>
      <c r="AZ76" s="1840"/>
      <c r="BA76" s="1840"/>
      <c r="BB76" s="1840"/>
      <c r="BC76" s="1844"/>
      <c r="BD76" s="1444"/>
      <c r="BE76" s="1444"/>
      <c r="BF76" s="1217" t="s">
        <v>912</v>
      </c>
      <c r="BG76" s="1188" t="s">
        <v>909</v>
      </c>
      <c r="BH76" s="1188" cm="1" t="str">
        <f t="array" ref="BH76:BH76">BH75</f>
        <v>0</v>
      </c>
      <c r="BI76" s="1189"/>
      <c r="BJ76" s="1189"/>
    </row>
    <row s="789" customFormat="1" customHeight="1" ht="16.5" hidden="1">
      <c r="A77" s="1123" t="str">
        <f>"checkVolume_1."&amp;F77&amp;"."&amp;Y75</f>
        <v>checkVolume_1.1.0</v>
      </c>
      <c r="B77" s="1444"/>
      <c r="C77" s="1444"/>
      <c r="D77" s="1444"/>
      <c r="E77" s="800">
        <v>17.1</v>
      </c>
      <c r="F77" s="920" cm="1" t="str">
        <f t="array" ref="F77:F77">OFFSET(G77,-1,-1)</f>
        <v>1</v>
      </c>
      <c r="G77" s="1444"/>
      <c r="H77" s="210" cm="1" t="str">
        <f t="array" ref="H77:H77">H75</f>
        <v>0</v>
      </c>
      <c r="I77" s="1444"/>
      <c r="J77" s="1444"/>
      <c r="K77" s="1444"/>
      <c r="L77" s="1444"/>
      <c r="M77" s="1444"/>
      <c r="N77" s="1444"/>
      <c r="O77" s="1444"/>
      <c r="P77" s="1444"/>
      <c r="Q77" s="1444"/>
      <c r="R77" s="1444"/>
      <c r="S77" s="155"/>
      <c r="T77" s="921" cm="1" t="str">
        <f t="array" ref="T77:T77">T75</f>
        <v>false</v>
      </c>
      <c r="U77" s="1444"/>
      <c r="V77" s="1444"/>
      <c r="W77" s="1444"/>
      <c r="X77" s="1444"/>
      <c r="Y77" s="1444"/>
      <c r="Z77" s="1444"/>
      <c r="AA77" s="1385"/>
      <c r="AB77" s="812" t="str">
        <f>AB75&amp;".2"</f>
        <v>1.5.0.2</v>
      </c>
      <c r="AC77" s="781" t="s">
        <v>913</v>
      </c>
      <c r="AD77" s="171" t="s">
        <v>722</v>
      </c>
      <c r="AE77" s="102"/>
      <c r="AF77" s="102"/>
      <c r="AG77" s="102"/>
      <c r="AH77" s="102"/>
      <c r="AI77" s="779"/>
      <c r="AJ77" s="1843"/>
      <c r="AK77" s="1843"/>
      <c r="AL77" s="102"/>
      <c r="AM77" s="102"/>
      <c r="AN77" s="102"/>
      <c r="AO77" s="102"/>
      <c r="AP77" s="102"/>
      <c r="AQ77" s="102"/>
      <c r="AR77" s="102"/>
      <c r="AS77" s="779"/>
      <c r="AT77" s="1843"/>
      <c r="AU77" s="1843"/>
      <c r="AV77" s="102"/>
      <c r="AW77" s="102"/>
      <c r="AX77" s="102"/>
      <c r="AY77" s="102"/>
      <c r="AZ77" s="102"/>
      <c r="BA77" s="102"/>
      <c r="BB77" s="102"/>
      <c r="BC77" s="69"/>
      <c r="BD77" s="1444"/>
      <c r="BE77" s="1444"/>
      <c r="BF77" s="1182" t="s">
        <v>914</v>
      </c>
      <c r="BG77" s="1188" t="s">
        <v>909</v>
      </c>
      <c r="BH77" s="1188" cm="1" t="str">
        <f t="array" ref="BH77:BH77">BH75</f>
        <v>0</v>
      </c>
      <c r="BI77" s="1189"/>
      <c r="BJ77" s="1189"/>
    </row>
    <row s="963" customFormat="1" customHeight="1" ht="16.5">
      <c r="A78" s="963"/>
      <c r="B78" s="963"/>
      <c r="C78" s="963"/>
      <c r="D78" s="963"/>
      <c r="E78" s="794">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1" t="s">
        <v>915</v>
      </c>
      <c r="X78" s="963"/>
      <c r="Y78" s="963"/>
      <c r="Z78" s="963"/>
      <c r="AA78" s="963"/>
      <c r="AB78" s="813"/>
      <c r="AC78" s="780" t="s">
        <v>237</v>
      </c>
      <c r="AD78" s="780"/>
      <c r="AE78" s="780"/>
      <c r="AF78" s="780"/>
      <c r="AG78" s="780"/>
      <c r="AH78" s="780"/>
      <c r="AI78" s="780"/>
      <c r="AJ78" s="780"/>
      <c r="AK78" s="780"/>
      <c r="AL78" s="780"/>
      <c r="AM78" s="780"/>
      <c r="AN78" s="780"/>
      <c r="AO78" s="780"/>
      <c r="AP78" s="780"/>
      <c r="AQ78" s="780"/>
      <c r="AR78" s="780"/>
      <c r="AS78" s="780"/>
      <c r="AT78" s="780"/>
      <c r="AU78" s="780"/>
      <c r="AV78" s="780"/>
      <c r="AW78" s="780"/>
      <c r="AX78" s="780"/>
      <c r="AY78" s="780"/>
      <c r="AZ78" s="780"/>
      <c r="BA78" s="780"/>
      <c r="BB78" s="780"/>
      <c r="BC78" s="1093"/>
      <c r="BD78" s="963"/>
      <c r="BE78" s="963"/>
      <c r="BF78" s="1171"/>
      <c r="BG78" s="1171"/>
      <c r="BH78" s="1171"/>
      <c r="BI78" s="1187" t="s">
        <v>909</v>
      </c>
      <c r="BJ78" s="1187"/>
    </row>
    <row s="789" customFormat="1" customHeight="1" ht="16.5">
      <c r="A79" s="1444"/>
      <c r="B79" s="1444"/>
      <c r="C79" s="1444"/>
      <c r="D79" s="1444"/>
      <c r="E79" s="800">
        <v>17.1</v>
      </c>
      <c r="F79" s="920" cm="1" t="str">
        <f t="array" ref="F79:F79">OFFSET(G79,-1,-1)</f>
        <v>1</v>
      </c>
      <c r="G79" s="1444"/>
      <c r="H79" s="1444"/>
      <c r="I79" s="1444"/>
      <c r="J79" s="1444"/>
      <c r="K79" s="1444"/>
      <c r="L79" s="1444"/>
      <c r="M79" s="1444"/>
      <c r="N79" s="1444"/>
      <c r="O79" s="1444"/>
      <c r="P79" s="1444"/>
      <c r="Q79" s="1444"/>
      <c r="R79" s="1444"/>
      <c r="S79" s="155"/>
      <c r="T79" s="921">
        <f>F79&gt;0</f>
        <v>1</v>
      </c>
      <c r="U79" s="1444"/>
      <c r="V79" s="1444"/>
      <c r="W79" s="1444"/>
      <c r="X79" s="1444"/>
      <c r="Y79" s="1444"/>
      <c r="Z79" s="1444"/>
      <c r="AA79" s="1444"/>
      <c r="AB79" s="782"/>
      <c r="AC79" s="340" t="s">
        <v>916</v>
      </c>
      <c r="AD79" s="341"/>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1094"/>
      <c r="BD79" s="1444"/>
      <c r="BE79" s="1444"/>
      <c r="BF79" s="1182"/>
      <c r="BG79" s="1188"/>
      <c r="BH79" s="1188"/>
      <c r="BI79" s="1189"/>
      <c r="BJ79" s="1189"/>
    </row>
    <row s="789" customFormat="1" customHeight="1" ht="16.5" hidden="1">
      <c r="A80" s="1444"/>
      <c r="B80" s="1444"/>
      <c r="C80" s="1444"/>
      <c r="D80" s="1444"/>
      <c r="E80" s="800">
        <v>17.1</v>
      </c>
      <c r="F80" s="920" cm="1" t="str">
        <f t="array" ref="F80:F80">OFFSET(G80,-1,-1)</f>
        <v>1</v>
      </c>
      <c r="G80" s="1444"/>
      <c r="H80" s="210" cm="1" t="str">
        <f t="array" ref="H80:H80">AC80</f>
        <v>0</v>
      </c>
      <c r="I80" s="212" t="s">
        <v>894</v>
      </c>
      <c r="J80" s="1444"/>
      <c r="K80" s="1444"/>
      <c r="L80" s="1444"/>
      <c r="M80" s="1444"/>
      <c r="N80" s="1444"/>
      <c r="O80" s="1444"/>
      <c r="P80" s="1444"/>
      <c r="Q80" s="1444"/>
      <c r="R80" s="1444"/>
      <c r="S80" s="155"/>
      <c r="T80" s="921">
        <f>AND(F80&gt;0,Y80&gt;0)</f>
        <v>0</v>
      </c>
      <c r="U80" s="1444"/>
      <c r="V80" s="1444"/>
      <c r="W80" s="168" t="s">
        <v>235</v>
      </c>
      <c r="X80" s="1444"/>
      <c r="Y80" s="168">
        <v>0</v>
      </c>
      <c r="Z80" s="1444"/>
      <c r="AA80" s="1385" t="s">
        <v>219</v>
      </c>
      <c r="AB80" s="213" t="str">
        <f>"1.6."&amp;Y80</f>
        <v>1.6.0</v>
      </c>
      <c r="AC80" s="101"/>
      <c r="AD80" s="153" t="s">
        <v>799</v>
      </c>
      <c r="AE80" s="264">
        <f>AE82+AE84</f>
        <v>0</v>
      </c>
      <c r="AF80" s="264">
        <f>AF82+AF84</f>
        <v>0</v>
      </c>
      <c r="AG80" s="264">
        <f>AG82+AG84</f>
        <v>0</v>
      </c>
      <c r="AH80" s="264">
        <f>AH82+AH84</f>
        <v>0</v>
      </c>
      <c r="AI80" s="264">
        <f>AI82+AI84</f>
        <v>0</v>
      </c>
      <c r="AJ80" s="1661">
        <f>AJ82+AJ84</f>
        <v>0</v>
      </c>
      <c r="AK80" s="1661">
        <f>AK82+AK84</f>
        <v>0</v>
      </c>
      <c r="AL80" s="59">
        <f>AL82+AL84</f>
        <v>0</v>
      </c>
      <c r="AM80" s="59">
        <f>AM82+AM84</f>
        <v>0</v>
      </c>
      <c r="AN80" s="59">
        <f>AN82+AN84</f>
        <v>0</v>
      </c>
      <c r="AO80" s="59">
        <f>AO82+AO84</f>
        <v>0</v>
      </c>
      <c r="AP80" s="59">
        <f>AP82+AP84</f>
        <v>0</v>
      </c>
      <c r="AQ80" s="59">
        <f>AQ82+AQ84</f>
        <v>0</v>
      </c>
      <c r="AR80" s="59">
        <f>AR82+AR84</f>
        <v>0</v>
      </c>
      <c r="AS80" s="264">
        <f>AS82+AS84</f>
        <v>0</v>
      </c>
      <c r="AT80" s="1661">
        <f>AT82+AT84</f>
        <v>0</v>
      </c>
      <c r="AU80" s="1661">
        <f>AU82+AU84</f>
        <v>0</v>
      </c>
      <c r="AV80" s="59">
        <f>AV82+AV84</f>
        <v>0</v>
      </c>
      <c r="AW80" s="59">
        <f>AW82+AW84</f>
        <v>0</v>
      </c>
      <c r="AX80" s="59">
        <f>AX82+AX84</f>
        <v>0</v>
      </c>
      <c r="AY80" s="59">
        <f>AY82+AY84</f>
        <v>0</v>
      </c>
      <c r="AZ80" s="59">
        <f>AZ82+AZ84</f>
        <v>0</v>
      </c>
      <c r="BA80" s="59">
        <f>BA82+BA84</f>
        <v>0</v>
      </c>
      <c r="BB80" s="59">
        <f>BB82+BB84</f>
        <v>0</v>
      </c>
      <c r="BC80" s="74"/>
      <c r="BD80" s="1444"/>
      <c r="BE80" s="1444"/>
      <c r="BF80" s="1182" t="s">
        <v>917</v>
      </c>
      <c r="BG80" s="1188" t="s">
        <v>918</v>
      </c>
      <c r="BH80" s="1188" cm="1" t="str">
        <f t="array" ref="BH80:BH80">AC80</f>
        <v>0</v>
      </c>
      <c r="BI80" s="1189"/>
      <c r="BJ80" s="1189" t="b">
        <v>1</v>
      </c>
    </row>
    <row s="789" customFormat="1" customHeight="1" ht="16.5" hidden="1">
      <c r="B81" s="1444"/>
      <c r="C81" s="1444"/>
      <c r="D81" s="1444"/>
      <c r="E81" s="800">
        <v>17.1</v>
      </c>
      <c r="F81" s="920" cm="1" t="str">
        <f t="array" ref="F81:F81">OFFSET(G81,-1,-1)</f>
        <v>1</v>
      </c>
      <c r="G81" s="1444"/>
      <c r="H81" s="497" cm="1" t="str">
        <f t="array" ref="H81:H81">H80</f>
        <v>0</v>
      </c>
      <c r="I81" s="1444"/>
      <c r="J81" s="1444"/>
      <c r="K81" s="1444"/>
      <c r="L81" s="1444"/>
      <c r="M81" s="1444"/>
      <c r="N81" s="1444"/>
      <c r="O81" s="1444"/>
      <c r="P81" s="1444"/>
      <c r="Q81" s="1444"/>
      <c r="R81" s="1444"/>
      <c r="S81" s="1506"/>
      <c r="T81" s="943" cm="1" t="str">
        <f t="array" ref="T81:T81">T80</f>
        <v>false</v>
      </c>
      <c r="U81" s="1444"/>
      <c r="V81" s="1444"/>
      <c r="W81" s="1444"/>
      <c r="X81" s="1444"/>
      <c r="Y81" s="1444"/>
      <c r="Z81" s="1444"/>
      <c r="AA81" s="1385"/>
      <c r="AB81" s="551" t="str">
        <f>AB80&amp;".1"</f>
        <v>1.6.0.1</v>
      </c>
      <c r="AC81" s="688" t="s">
        <v>910</v>
      </c>
      <c r="AD81" s="1511" t="s">
        <v>911</v>
      </c>
      <c r="AE81" s="1846"/>
      <c r="AF81" s="264">
        <f>IF(AF83=0,0,AF82/AF83)</f>
        <v>0</v>
      </c>
      <c r="AG81" s="264">
        <f>IF(AG83=0,0,AG82/AG83)</f>
        <v>0</v>
      </c>
      <c r="AH81" s="1846"/>
      <c r="AI81" s="264">
        <f>IF(AI83=0,0,AI82/AI83)</f>
        <v>0</v>
      </c>
      <c r="AJ81" s="1839">
        <f>IF(AJ83=0,0,AJ82/AJ83)</f>
        <v>0</v>
      </c>
      <c r="AK81" s="1839">
        <f>IF(AK83=0,0,AK82/AK83)</f>
        <v>0</v>
      </c>
      <c r="AL81" s="264">
        <f>IF(AL83=0,0,AL82/AL83)</f>
        <v>0</v>
      </c>
      <c r="AM81" s="264">
        <f>IF(AM83=0,0,AM82/AM83)</f>
        <v>0</v>
      </c>
      <c r="AN81" s="264">
        <f>IF(AN83=0,0,AN82/AN83)</f>
        <v>0</v>
      </c>
      <c r="AO81" s="264">
        <f>IF(AO83=0,0,AO82/AO83)</f>
        <v>0</v>
      </c>
      <c r="AP81" s="264">
        <f>IF(AP83=0,0,AP82/AP83)</f>
        <v>0</v>
      </c>
      <c r="AQ81" s="264">
        <f>IF(AQ83=0,0,AQ82/AQ83)</f>
        <v>0</v>
      </c>
      <c r="AR81" s="264">
        <f>IF(AR83=0,0,AR82/AR83)</f>
        <v>0</v>
      </c>
      <c r="AS81" s="209"/>
      <c r="AT81" s="1661"/>
      <c r="AU81" s="1661"/>
      <c r="AV81" s="1846"/>
      <c r="AW81" s="1846"/>
      <c r="AX81" s="1846"/>
      <c r="AY81" s="1846"/>
      <c r="AZ81" s="1846"/>
      <c r="BA81" s="1846"/>
      <c r="BB81" s="1846"/>
      <c r="BC81" s="1847"/>
      <c r="BD81" s="1444"/>
      <c r="BE81" s="1444"/>
      <c r="BF81" s="1217" t="s">
        <v>912</v>
      </c>
      <c r="BG81" s="1188" t="s">
        <v>918</v>
      </c>
      <c r="BH81" s="1188" cm="1" t="str">
        <f t="array" ref="BH81:BH81">BH80</f>
        <v>0</v>
      </c>
      <c r="BI81" s="1189"/>
      <c r="BJ81" s="1189"/>
    </row>
    <row s="789" customFormat="1" customHeight="1" ht="16.5" hidden="1">
      <c r="A82" s="1123" t="str">
        <f>"checkCosts_2."&amp;F82&amp;"."&amp;Y80</f>
        <v>checkCosts_2.1.0</v>
      </c>
      <c r="B82" s="1444"/>
      <c r="C82" s="1444"/>
      <c r="D82" s="1444"/>
      <c r="E82" s="800">
        <v>17.1</v>
      </c>
      <c r="F82" s="920" cm="1" t="str">
        <f t="array" ref="F82:F82">OFFSET(G82,-1,-1)</f>
        <v>1</v>
      </c>
      <c r="G82" s="1444"/>
      <c r="H82" s="210" cm="1" t="str">
        <f t="array" ref="H82:H82">H80</f>
        <v>0</v>
      </c>
      <c r="I82" s="1444"/>
      <c r="J82" s="1444"/>
      <c r="K82" s="1444"/>
      <c r="L82" s="1444"/>
      <c r="M82" s="1444"/>
      <c r="N82" s="1444"/>
      <c r="O82" s="1444"/>
      <c r="P82" s="1444"/>
      <c r="Q82" s="1444"/>
      <c r="R82" s="1444"/>
      <c r="S82" s="155"/>
      <c r="T82" s="921" cm="1" t="str">
        <f t="array" ref="T82:T82">T80</f>
        <v>false</v>
      </c>
      <c r="U82" s="1444"/>
      <c r="V82" s="1444"/>
      <c r="W82" s="1444"/>
      <c r="X82" s="1444"/>
      <c r="Y82" s="1444"/>
      <c r="Z82" s="1444"/>
      <c r="AA82" s="1385"/>
      <c r="AB82" s="213" t="str">
        <f>AB80&amp;".2"</f>
        <v>1.6.0.2</v>
      </c>
      <c r="AC82" s="273" t="s">
        <v>919</v>
      </c>
      <c r="AD82" s="153" t="s">
        <v>799</v>
      </c>
      <c r="AE82" s="59"/>
      <c r="AF82" s="59"/>
      <c r="AG82" s="59"/>
      <c r="AH82" s="59"/>
      <c r="AI82" s="209"/>
      <c r="AJ82" s="1661"/>
      <c r="AK82" s="1661"/>
      <c r="AL82" s="59"/>
      <c r="AM82" s="59"/>
      <c r="AN82" s="59"/>
      <c r="AO82" s="59"/>
      <c r="AP82" s="59"/>
      <c r="AQ82" s="59"/>
      <c r="AR82" s="59"/>
      <c r="AS82" s="209"/>
      <c r="AT82" s="1661"/>
      <c r="AU82" s="1661"/>
      <c r="AV82" s="59"/>
      <c r="AW82" s="59"/>
      <c r="AX82" s="59"/>
      <c r="AY82" s="59"/>
      <c r="AZ82" s="59"/>
      <c r="BA82" s="59"/>
      <c r="BB82" s="59"/>
      <c r="BC82" s="74"/>
      <c r="BD82" s="1444"/>
      <c r="BE82" s="1444"/>
      <c r="BF82" s="1182" t="s">
        <v>908</v>
      </c>
      <c r="BG82" s="1188" t="s">
        <v>918</v>
      </c>
      <c r="BH82" s="1188" cm="1" t="str">
        <f t="array" ref="BH82:BH82">BH80</f>
        <v>0</v>
      </c>
      <c r="BI82" s="1189"/>
      <c r="BJ82" s="1189"/>
    </row>
    <row s="789" customFormat="1" customHeight="1" ht="16.5" hidden="1">
      <c r="A83" s="1123" t="str">
        <f>"checkVolume_2."&amp;F83&amp;"."&amp;Y80</f>
        <v>checkVolume_2.1.0</v>
      </c>
      <c r="B83" s="1444"/>
      <c r="C83" s="1444"/>
      <c r="D83" s="1444"/>
      <c r="E83" s="800">
        <v>17.1</v>
      </c>
      <c r="F83" s="920" cm="1" t="str">
        <f t="array" ref="F83:F83">OFFSET(G83,-1,-1)</f>
        <v>1</v>
      </c>
      <c r="G83" s="1444"/>
      <c r="H83" s="210" cm="1" t="str">
        <f t="array" ref="H83:H83">H82</f>
        <v>0</v>
      </c>
      <c r="I83" s="1444"/>
      <c r="J83" s="1444"/>
      <c r="K83" s="1444"/>
      <c r="L83" s="1444"/>
      <c r="M83" s="1444"/>
      <c r="N83" s="1444"/>
      <c r="O83" s="1444"/>
      <c r="P83" s="1444"/>
      <c r="Q83" s="1444"/>
      <c r="R83" s="1444"/>
      <c r="S83" s="155"/>
      <c r="T83" s="921" cm="1" t="str">
        <f t="array" ref="T83:T83">T82</f>
        <v>false</v>
      </c>
      <c r="U83" s="1444"/>
      <c r="V83" s="1444"/>
      <c r="W83" s="1444"/>
      <c r="X83" s="1444"/>
      <c r="Y83" s="1444"/>
      <c r="Z83" s="1444"/>
      <c r="AA83" s="1385"/>
      <c r="AB83" s="213" t="str">
        <f>AB80&amp;".2.1"</f>
        <v>1.6.0.2.1</v>
      </c>
      <c r="AC83" s="415" t="s">
        <v>913</v>
      </c>
      <c r="AD83" s="167" t="s">
        <v>722</v>
      </c>
      <c r="AE83" s="59"/>
      <c r="AF83" s="59"/>
      <c r="AG83" s="59"/>
      <c r="AH83" s="59"/>
      <c r="AI83" s="209"/>
      <c r="AJ83" s="1661"/>
      <c r="AK83" s="1661"/>
      <c r="AL83" s="59"/>
      <c r="AM83" s="59"/>
      <c r="AN83" s="59"/>
      <c r="AO83" s="59"/>
      <c r="AP83" s="59"/>
      <c r="AQ83" s="59"/>
      <c r="AR83" s="59"/>
      <c r="AS83" s="209"/>
      <c r="AT83" s="1661"/>
      <c r="AU83" s="1661"/>
      <c r="AV83" s="59"/>
      <c r="AW83" s="59"/>
      <c r="AX83" s="59"/>
      <c r="AY83" s="59"/>
      <c r="AZ83" s="59"/>
      <c r="BA83" s="59"/>
      <c r="BB83" s="59"/>
      <c r="BC83" s="74"/>
      <c r="BD83" s="1444"/>
      <c r="BE83" s="1444"/>
      <c r="BF83" s="1182" t="s">
        <v>914</v>
      </c>
      <c r="BG83" s="1188" t="s">
        <v>918</v>
      </c>
      <c r="BH83" s="1188" cm="1" t="str">
        <f t="array" ref="BH83:BH83">BH82</f>
        <v>0</v>
      </c>
      <c r="BI83" s="1189"/>
      <c r="BJ83" s="1189"/>
    </row>
    <row s="789" customFormat="1" customHeight="1" ht="16.5" hidden="1">
      <c r="A84" s="1123" t="str">
        <f>"checkCosts_3."&amp;F84&amp;"."&amp;Y80</f>
        <v>checkCosts_3.1.0</v>
      </c>
      <c r="B84" s="1444"/>
      <c r="C84" s="1444"/>
      <c r="D84" s="1444"/>
      <c r="E84" s="800">
        <v>17.1</v>
      </c>
      <c r="F84" s="920" cm="1" t="str">
        <f t="array" ref="F84:F84">OFFSET(G84,-1,-1)</f>
        <v>1</v>
      </c>
      <c r="G84" s="1444"/>
      <c r="H84" s="210" cm="1" t="str">
        <f t="array" ref="H84:H84">H83</f>
        <v>0</v>
      </c>
      <c r="I84" s="1444"/>
      <c r="J84" s="1444"/>
      <c r="K84" s="1444"/>
      <c r="L84" s="1444"/>
      <c r="M84" s="1444"/>
      <c r="N84" s="1444"/>
      <c r="O84" s="1444"/>
      <c r="P84" s="1444"/>
      <c r="Q84" s="1444"/>
      <c r="R84" s="1444"/>
      <c r="S84" s="155"/>
      <c r="T84" s="921" cm="1" t="str">
        <f t="array" ref="T84:T84">T83</f>
        <v>false</v>
      </c>
      <c r="U84" s="1444"/>
      <c r="V84" s="1444"/>
      <c r="W84" s="1444"/>
      <c r="X84" s="1444"/>
      <c r="Y84" s="1444"/>
      <c r="Z84" s="1444"/>
      <c r="AA84" s="1385"/>
      <c r="AB84" s="213" t="str">
        <f>AB80&amp;".3"</f>
        <v>1.6.0.3</v>
      </c>
      <c r="AC84" s="273" t="s">
        <v>920</v>
      </c>
      <c r="AD84" s="153" t="s">
        <v>921</v>
      </c>
      <c r="AE84" s="59"/>
      <c r="AF84" s="59"/>
      <c r="AG84" s="59"/>
      <c r="AH84" s="59"/>
      <c r="AI84" s="209"/>
      <c r="AJ84" s="1661"/>
      <c r="AK84" s="1661"/>
      <c r="AL84" s="59"/>
      <c r="AM84" s="59"/>
      <c r="AN84" s="59"/>
      <c r="AO84" s="59"/>
      <c r="AP84" s="59"/>
      <c r="AQ84" s="59"/>
      <c r="AR84" s="59"/>
      <c r="AS84" s="209"/>
      <c r="AT84" s="1661"/>
      <c r="AU84" s="1661"/>
      <c r="AV84" s="59"/>
      <c r="AW84" s="59"/>
      <c r="AX84" s="59"/>
      <c r="AY84" s="59"/>
      <c r="AZ84" s="59"/>
      <c r="BA84" s="59"/>
      <c r="BB84" s="59"/>
      <c r="BC84" s="74"/>
      <c r="BD84" s="1444"/>
      <c r="BE84" s="1444"/>
      <c r="BF84" s="1182" t="s">
        <v>922</v>
      </c>
      <c r="BG84" s="1188" t="s">
        <v>918</v>
      </c>
      <c r="BH84" s="1188" cm="1" t="str">
        <f t="array" ref="BH84:BH84">BH83</f>
        <v>0</v>
      </c>
      <c r="BI84" s="1189"/>
      <c r="BJ84" s="1189"/>
    </row>
    <row s="789" customFormat="1" customHeight="1" ht="16.5" hidden="1">
      <c r="A85" s="1123" t="str">
        <f>"checkVolume_3."&amp;F85&amp;"."&amp;Y80</f>
        <v>checkVolume_3.1.0</v>
      </c>
      <c r="B85" s="1444"/>
      <c r="C85" s="1444"/>
      <c r="D85" s="1444"/>
      <c r="E85" s="800">
        <v>17.1</v>
      </c>
      <c r="F85" s="920" cm="1" t="str">
        <f t="array" ref="F85:F85">OFFSET(G85,-1,-1)</f>
        <v>1</v>
      </c>
      <c r="G85" s="1444"/>
      <c r="H85" s="210" cm="1" t="str">
        <f t="array" ref="H85:H85">H84</f>
        <v>0</v>
      </c>
      <c r="I85" s="1444"/>
      <c r="J85" s="1444"/>
      <c r="K85" s="1444"/>
      <c r="L85" s="1444"/>
      <c r="M85" s="1444"/>
      <c r="N85" s="1444"/>
      <c r="O85" s="1444"/>
      <c r="P85" s="1444"/>
      <c r="Q85" s="1444"/>
      <c r="R85" s="1444"/>
      <c r="S85" s="155"/>
      <c r="T85" s="921" cm="1" t="str">
        <f t="array" ref="T85:T85">T84</f>
        <v>false</v>
      </c>
      <c r="U85" s="1444"/>
      <c r="V85" s="1444"/>
      <c r="W85" s="1444"/>
      <c r="X85" s="1444"/>
      <c r="Y85" s="1444"/>
      <c r="Z85" s="1444"/>
      <c r="AA85" s="1385"/>
      <c r="AB85" s="812" t="str">
        <f>AB80&amp;".3.1"</f>
        <v>1.6.0.3.1</v>
      </c>
      <c r="AC85" s="778" t="s">
        <v>923</v>
      </c>
      <c r="AD85" s="171" t="s">
        <v>924</v>
      </c>
      <c r="AE85" s="102"/>
      <c r="AF85" s="102"/>
      <c r="AG85" s="102"/>
      <c r="AH85" s="102"/>
      <c r="AI85" s="779"/>
      <c r="AJ85" s="1843"/>
      <c r="AK85" s="1843"/>
      <c r="AL85" s="102"/>
      <c r="AM85" s="102"/>
      <c r="AN85" s="102"/>
      <c r="AO85" s="102"/>
      <c r="AP85" s="102"/>
      <c r="AQ85" s="102"/>
      <c r="AR85" s="102"/>
      <c r="AS85" s="779"/>
      <c r="AT85" s="1843"/>
      <c r="AU85" s="1843"/>
      <c r="AV85" s="102"/>
      <c r="AW85" s="102"/>
      <c r="AX85" s="102"/>
      <c r="AY85" s="102"/>
      <c r="AZ85" s="102"/>
      <c r="BA85" s="102"/>
      <c r="BB85" s="102"/>
      <c r="BC85" s="69"/>
      <c r="BD85" s="1444"/>
      <c r="BE85" s="1444"/>
      <c r="BF85" s="1182" t="s">
        <v>925</v>
      </c>
      <c r="BG85" s="1188" t="s">
        <v>918</v>
      </c>
      <c r="BH85" s="1188" cm="1" t="str">
        <f t="array" ref="BH85:BH85">BH84</f>
        <v>0</v>
      </c>
      <c r="BI85" s="1189"/>
      <c r="BJ85" s="1189"/>
    </row>
    <row s="963" customFormat="1" customHeight="1" ht="16.5">
      <c r="A86" s="963"/>
      <c r="B86" s="963"/>
      <c r="C86" s="963"/>
      <c r="D86" s="963"/>
      <c r="E86" s="794">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1" t="s">
        <v>926</v>
      </c>
      <c r="X86" s="963"/>
      <c r="Y86" s="963"/>
      <c r="Z86" s="963"/>
      <c r="AA86" s="963"/>
      <c r="AB86" s="813"/>
      <c r="AC86" s="780" t="s">
        <v>927</v>
      </c>
      <c r="AD86" s="780"/>
      <c r="AE86" s="780"/>
      <c r="AF86" s="780"/>
      <c r="AG86" s="780"/>
      <c r="AH86" s="780"/>
      <c r="AI86" s="780"/>
      <c r="AJ86" s="780"/>
      <c r="AK86" s="780"/>
      <c r="AL86" s="780"/>
      <c r="AM86" s="780"/>
      <c r="AN86" s="780"/>
      <c r="AO86" s="780"/>
      <c r="AP86" s="780"/>
      <c r="AQ86" s="780"/>
      <c r="AR86" s="780"/>
      <c r="AS86" s="780"/>
      <c r="AT86" s="780"/>
      <c r="AU86" s="780"/>
      <c r="AV86" s="780"/>
      <c r="AW86" s="780"/>
      <c r="AX86" s="780"/>
      <c r="AY86" s="780"/>
      <c r="AZ86" s="780"/>
      <c r="BA86" s="780"/>
      <c r="BB86" s="780"/>
      <c r="BC86" s="1093"/>
      <c r="BD86" s="963"/>
      <c r="BE86" s="963"/>
      <c r="BF86" s="1171"/>
      <c r="BG86" s="1171"/>
      <c r="BH86" s="1171"/>
      <c r="BI86" s="1187" t="s">
        <v>918</v>
      </c>
      <c r="BJ86" s="1187"/>
    </row>
    <row s="963" customFormat="1" customHeight="1" ht="12" hidden="1">
      <c r="A87" s="963"/>
      <c r="B87" s="963"/>
      <c r="C87" s="963"/>
      <c r="D87" s="963"/>
      <c r="E87" s="794">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0" customFormat="1" customHeight="1" ht="14.25">
      <c r="A88" s="220"/>
      <c r="B88" s="220"/>
      <c r="C88" s="220"/>
      <c r="D88" s="220"/>
      <c r="E88" s="922">
        <v>15</v>
      </c>
      <c r="F88" s="920" cm="1" t="str">
        <f t="array" ref="F88:F88">OFFSET(G88,-1,-1)</f>
        <v>1</v>
      </c>
      <c r="G88" s="190" t="s">
        <v>928</v>
      </c>
      <c r="H88" s="220"/>
      <c r="I88" s="212" t="s">
        <v>894</v>
      </c>
      <c r="J88" s="220"/>
      <c r="K88" s="220"/>
      <c r="L88" s="220"/>
      <c r="M88" s="220"/>
      <c r="N88" s="220"/>
      <c r="O88" s="220"/>
      <c r="P88" s="220"/>
      <c r="Q88" s="220"/>
      <c r="R88" s="220"/>
      <c r="S88" s="220"/>
      <c r="T88" s="921">
        <f>F88&gt;0</f>
        <v>1</v>
      </c>
      <c r="U88" s="220"/>
      <c r="V88" s="220"/>
      <c r="W88" s="220"/>
      <c r="X88" s="220"/>
      <c r="Y88" s="220"/>
      <c r="Z88" s="220"/>
      <c r="AA88" s="220"/>
      <c r="AB88" s="814">
        <v>2</v>
      </c>
      <c r="AC88" s="783" t="s">
        <v>929</v>
      </c>
      <c r="AD88" s="784" t="s">
        <v>799</v>
      </c>
      <c r="AE88" s="279">
        <f>SUMIF($I92:$I112,$I88,AE92:AE112)</f>
        <v>0</v>
      </c>
      <c r="AF88" s="279">
        <f>SUMIF($I92:$I112,$I88,AF92:AF112)</f>
        <v>140942.32</v>
      </c>
      <c r="AG88" s="279">
        <f>SUMIF($I92:$I112,$I88,AG92:AG112)</f>
        <v>140942.32</v>
      </c>
      <c r="AH88" s="279">
        <f>SUMIF($I92:$I112,$I88,AH92:AH112)</f>
        <v>0</v>
      </c>
      <c r="AI88" s="279">
        <f>SUMIF($I92:$I112,$I88,AI92:AI112)</f>
        <v>297312.05</v>
      </c>
      <c r="AJ88" s="1848">
        <f>SUMIF($I92:$I112,$I88,AJ92:AJ112)</f>
        <v>0</v>
      </c>
      <c r="AK88" s="1848">
        <f>SUMIF($I92:$I112,$I88,AK92:AK112)</f>
        <v>0</v>
      </c>
      <c r="AL88" s="1863">
        <f>SUMIF($I92:$I112,$I88,AL92:AL112)</f>
        <v>0</v>
      </c>
      <c r="AM88" s="1863">
        <f>SUMIF($I92:$I112,$I88,AM92:AM112)</f>
        <v>0</v>
      </c>
      <c r="AN88" s="1863">
        <f>SUMIF($I92:$I112,$I88,AN92:AN112)</f>
        <v>0</v>
      </c>
      <c r="AO88" s="1863">
        <f>SUMIF($I92:$I112,$I88,AO92:AO112)</f>
        <v>0</v>
      </c>
      <c r="AP88" s="1863">
        <f>SUMIF($I92:$I112,$I88,AP92:AP112)</f>
        <v>0</v>
      </c>
      <c r="AQ88" s="1863">
        <f>SUMIF($I92:$I112,$I88,AQ92:AQ112)</f>
        <v>0</v>
      </c>
      <c r="AR88" s="1863">
        <f>SUMIF($I92:$I112,$I88,AR92:AR112)</f>
        <v>0</v>
      </c>
      <c r="AS88" s="279">
        <f>SUMIF($I92:$I112,$I88,AS92:AS112)</f>
        <v>0</v>
      </c>
      <c r="AT88" s="1848">
        <f>SUMIF($I92:$I112,$I88,AT92:AT112)</f>
        <v>0</v>
      </c>
      <c r="AU88" s="1848">
        <f>SUMIF($I92:$I112,$I88,AU92:AU112)</f>
        <v>0</v>
      </c>
      <c r="AV88" s="1863">
        <f>SUMIF($I92:$I112,$I88,AV92:AV112)</f>
        <v>0</v>
      </c>
      <c r="AW88" s="1863">
        <f>SUMIF($I92:$I112,$I88,AW92:AW112)</f>
        <v>0</v>
      </c>
      <c r="AX88" s="1863">
        <f>SUMIF($I92:$I112,$I88,AX92:AX112)</f>
        <v>0</v>
      </c>
      <c r="AY88" s="1863">
        <f>SUMIF($I92:$I112,$I88,AY92:AY112)</f>
        <v>0</v>
      </c>
      <c r="AZ88" s="1863">
        <f>SUMIF($I92:$I112,$I88,AZ92:AZ112)</f>
        <v>0</v>
      </c>
      <c r="BA88" s="1863">
        <f>SUMIF($I92:$I112,$I88,BA92:BA112)</f>
        <v>0</v>
      </c>
      <c r="BB88" s="1863">
        <f>SUMIF($I92:$I112,$I88,BB92:BB112)</f>
        <v>0</v>
      </c>
      <c r="BC88" s="1864"/>
      <c r="BD88" s="220"/>
      <c r="BE88" s="220"/>
      <c r="BF88" s="1190" t="s">
        <v>660</v>
      </c>
      <c r="BG88" s="1190"/>
      <c r="BH88" s="1190"/>
      <c r="BI88" s="1191"/>
      <c r="BJ88" s="1191"/>
    </row>
    <row s="220" customFormat="1" customHeight="1" ht="14.25" hidden="1">
      <c r="A89" s="220"/>
      <c r="B89" s="220"/>
      <c r="C89" s="220"/>
      <c r="D89" s="220"/>
      <c r="E89" s="922">
        <v>15</v>
      </c>
      <c r="F89" s="920" cm="1" t="str">
        <f t="array" ref="F89:F89">OFFSET(G89,-1,-1)</f>
        <v>1</v>
      </c>
      <c r="G89" s="190" t="s">
        <v>930</v>
      </c>
      <c r="H89" s="220"/>
      <c r="I89" s="220"/>
      <c r="J89" s="220"/>
      <c r="K89" s="220"/>
      <c r="L89" s="210" cm="1" t="str">
        <f t="array" ref="L89:L89">INDEX('Общие сведения'!$AK$169:$AK$202,MATCH($F89,'Общие сведения'!$Z$169:$Z$202,0))</f>
        <v>одноставочный</v>
      </c>
      <c r="M89" s="220"/>
      <c r="N89" s="220"/>
      <c r="O89" s="220"/>
      <c r="P89" s="220"/>
      <c r="Q89" s="220"/>
      <c r="R89" s="190" t="s">
        <v>931</v>
      </c>
      <c r="S89" s="220"/>
      <c r="T89" s="921">
        <f>AND(F89&gt;0,L89="двухставочный")</f>
        <v>0</v>
      </c>
      <c r="U89" s="220"/>
      <c r="V89" s="220"/>
      <c r="W89" s="220"/>
      <c r="X89" s="220"/>
      <c r="Y89" s="220"/>
      <c r="Z89" s="220"/>
      <c r="AA89" s="919" t="s">
        <v>932</v>
      </c>
      <c r="AB89" s="285" t="s">
        <v>932</v>
      </c>
      <c r="AC89" s="587" t="s">
        <v>933</v>
      </c>
      <c r="AD89" s="607" t="s">
        <v>799</v>
      </c>
      <c r="AE89" s="666">
        <f>_xlfn.SUMIFS(AE92:AE112,$AC92:$AC112,$AC89)</f>
        <v>0</v>
      </c>
      <c r="AF89" s="666">
        <f>_xlfn.SUMIFS(AF92:AF112,$AC92:$AC112,$AC89)</f>
        <v>0</v>
      </c>
      <c r="AG89" s="666">
        <f>_xlfn.SUMIFS(AG92:AG112,$AC92:$AC112,$AC89)</f>
        <v>0</v>
      </c>
      <c r="AH89" s="666">
        <f>_xlfn.SUMIFS(AH92:AH112,$AC92:$AC112,$AC89)</f>
        <v>0</v>
      </c>
      <c r="AI89" s="666">
        <f>_xlfn.SUMIFS(AI92:AI112,$AC92:$AC112,$AC89)</f>
        <v>0</v>
      </c>
      <c r="AJ89" s="1849">
        <f>_xlfn.SUMIFS(AJ92:AJ112,$AC92:$AC112,$AC89)</f>
        <v>0</v>
      </c>
      <c r="AK89" s="1849">
        <f>_xlfn.SUMIFS(AK92:AK112,$AC92:$AC112,$AC89)</f>
        <v>0</v>
      </c>
      <c r="AL89" s="66">
        <f>_xlfn.SUMIFS(AL92:AL112,$AC92:$AC112,$AC89)</f>
        <v>0</v>
      </c>
      <c r="AM89" s="66">
        <f>_xlfn.SUMIFS(AM92:AM112,$AC92:$AC112,$AC89)</f>
        <v>0</v>
      </c>
      <c r="AN89" s="66">
        <f>_xlfn.SUMIFS(AN92:AN112,$AC92:$AC112,$AC89)</f>
        <v>0</v>
      </c>
      <c r="AO89" s="66">
        <f>_xlfn.SUMIFS(AO92:AO112,$AC92:$AC112,$AC89)</f>
        <v>0</v>
      </c>
      <c r="AP89" s="66">
        <f>_xlfn.SUMIFS(AP92:AP112,$AC92:$AC112,$AC89)</f>
        <v>0</v>
      </c>
      <c r="AQ89" s="66">
        <f>_xlfn.SUMIFS(AQ92:AQ112,$AC92:$AC112,$AC89)</f>
        <v>0</v>
      </c>
      <c r="AR89" s="66">
        <f>_xlfn.SUMIFS(AR92:AR112,$AC92:$AC112,$AC89)</f>
        <v>0</v>
      </c>
      <c r="AS89" s="666">
        <f>_xlfn.SUMIFS(AS92:AS112,$AC92:$AC112,$AC89)</f>
        <v>0</v>
      </c>
      <c r="AT89" s="1849">
        <f>_xlfn.SUMIFS(AT92:AT112,$AC92:$AC112,$AC89)</f>
        <v>0</v>
      </c>
      <c r="AU89" s="1849">
        <f>_xlfn.SUMIFS(AU92:AU112,$AC92:$AC112,$AC89)</f>
        <v>0</v>
      </c>
      <c r="AV89" s="66">
        <f>_xlfn.SUMIFS(AV92:AV112,$AC92:$AC112,$AC89)</f>
        <v>0</v>
      </c>
      <c r="AW89" s="66">
        <f>_xlfn.SUMIFS(AW92:AW112,$AC92:$AC112,$AC89)</f>
        <v>0</v>
      </c>
      <c r="AX89" s="66">
        <f>_xlfn.SUMIFS(AX92:AX112,$AC92:$AC112,$AC89)</f>
        <v>0</v>
      </c>
      <c r="AY89" s="66">
        <f>_xlfn.SUMIFS(AY92:AY112,$AC92:$AC112,$AC89)</f>
        <v>0</v>
      </c>
      <c r="AZ89" s="66">
        <f>_xlfn.SUMIFS(AZ92:AZ112,$AC92:$AC112,$AC89)</f>
        <v>0</v>
      </c>
      <c r="BA89" s="66">
        <f>_xlfn.SUMIFS(BA92:BA112,$AC92:$AC112,$AC89)</f>
        <v>0</v>
      </c>
      <c r="BB89" s="66">
        <f>_xlfn.SUMIFS(BB92:BB112,$AC92:$AC112,$AC89)</f>
        <v>0</v>
      </c>
      <c r="BC89" s="80"/>
      <c r="BD89" s="220"/>
      <c r="BE89" s="220"/>
      <c r="BF89" s="1190" t="s">
        <v>934</v>
      </c>
      <c r="BG89" s="1190"/>
      <c r="BH89" s="1190"/>
      <c r="BI89" s="1191"/>
      <c r="BJ89" s="1191"/>
    </row>
    <row s="220" customFormat="1" customHeight="1" ht="14.25">
      <c r="A90" s="220"/>
      <c r="B90" s="220"/>
      <c r="C90" s="220"/>
      <c r="D90" s="220"/>
      <c r="E90" s="922">
        <v>15</v>
      </c>
      <c r="F90" s="920" cm="1" t="str">
        <f t="array" ref="F90:F90">OFFSET(G90,-1,-1)</f>
        <v>1</v>
      </c>
      <c r="G90" s="220"/>
      <c r="H90" s="220"/>
      <c r="I90" s="220"/>
      <c r="J90" s="220"/>
      <c r="K90" s="220"/>
      <c r="L90" s="220"/>
      <c r="M90" s="220"/>
      <c r="N90" s="220"/>
      <c r="O90" s="220"/>
      <c r="P90" s="220"/>
      <c r="Q90" s="220"/>
      <c r="R90" s="220"/>
      <c r="S90" s="220"/>
      <c r="T90" s="921" cm="1" t="str">
        <f t="array" ref="T90:T90">T88</f>
        <v>true</v>
      </c>
      <c r="U90" s="220"/>
      <c r="V90" s="220"/>
      <c r="W90" s="220"/>
      <c r="X90" s="220"/>
      <c r="Y90" s="220"/>
      <c r="Z90" s="220"/>
      <c r="AA90" s="220"/>
      <c r="AB90" s="213" t="s">
        <v>443</v>
      </c>
      <c r="AC90" s="273" t="s">
        <v>935</v>
      </c>
      <c r="AD90" s="151" t="s">
        <v>586</v>
      </c>
      <c r="AE90" s="264">
        <f>SUMIF($AD92:$AD112,$AD90,AE92:AE112)</f>
        <v>91362.34</v>
      </c>
      <c r="AF90" s="264">
        <f>SUMIF($AD92:$AD112,$AD90,AF92:AF112)</f>
        <v>102969.52</v>
      </c>
      <c r="AG90" s="264">
        <f>SUMIF($AD92:$AD112,$AD90,AG92:AG112)</f>
        <v>102969.52</v>
      </c>
      <c r="AH90" s="264">
        <f>SUMIF($AD92:$AD112,$AD90,AH92:AH112)</f>
        <v>91362.34</v>
      </c>
      <c r="AI90" s="264">
        <f>SUMIF($AD92:$AD112,$AD90,AI92:AI112)</f>
        <v>108475</v>
      </c>
      <c r="AJ90" s="1661">
        <f>SUMIF($AD92:$AD112,$AD90,AJ92:AJ112)</f>
        <v>0</v>
      </c>
      <c r="AK90" s="1661">
        <f>SUMIF($AD92:$AD112,$AD90,AK92:AK112)</f>
        <v>0</v>
      </c>
      <c r="AL90" s="1669">
        <f>SUMIF($AD92:$AD112,$AD90,AL92:AL112)</f>
        <v>0</v>
      </c>
      <c r="AM90" s="1669">
        <f>SUMIF($AD92:$AD112,$AD90,AM92:AM112)</f>
        <v>0</v>
      </c>
      <c r="AN90" s="1669">
        <f>SUMIF($AD92:$AD112,$AD90,AN92:AN112)</f>
        <v>0</v>
      </c>
      <c r="AO90" s="1669">
        <f>SUMIF($AD92:$AD112,$AD90,AO92:AO112)</f>
        <v>0</v>
      </c>
      <c r="AP90" s="1669">
        <f>SUMIF($AD92:$AD112,$AD90,AP92:AP112)</f>
        <v>0</v>
      </c>
      <c r="AQ90" s="1669">
        <f>SUMIF($AD92:$AD112,$AD90,AQ92:AQ112)</f>
        <v>0</v>
      </c>
      <c r="AR90" s="1669">
        <f>SUMIF($AD92:$AD112,$AD90,AR92:AR112)</f>
        <v>0</v>
      </c>
      <c r="AS90" s="264">
        <f>SUMIF($AD92:$AD112,$AD90,AS92:AS112)</f>
        <v>91362.34</v>
      </c>
      <c r="AT90" s="1661">
        <f>SUMIF($AD92:$AD112,$AD90,AT92:AT112)</f>
        <v>0</v>
      </c>
      <c r="AU90" s="1661">
        <f>SUMIF($AD92:$AD112,$AD90,AU92:AU112)</f>
        <v>0</v>
      </c>
      <c r="AV90" s="1669">
        <f>SUMIF($AD92:$AD112,$AD90,AV92:AV112)</f>
        <v>0</v>
      </c>
      <c r="AW90" s="1669">
        <f>SUMIF($AD92:$AD112,$AD90,AW92:AW112)</f>
        <v>0</v>
      </c>
      <c r="AX90" s="1669">
        <f>SUMIF($AD92:$AD112,$AD90,AX92:AX112)</f>
        <v>0</v>
      </c>
      <c r="AY90" s="1669">
        <f>SUMIF($AD92:$AD112,$AD90,AY92:AY112)</f>
        <v>0</v>
      </c>
      <c r="AZ90" s="1669">
        <f>SUMIF($AD92:$AD112,$AD90,AZ92:AZ112)</f>
        <v>0</v>
      </c>
      <c r="BA90" s="1669">
        <f>SUMIF($AD92:$AD112,$AD90,BA92:BA112)</f>
        <v>0</v>
      </c>
      <c r="BB90" s="1669">
        <f>SUMIF($AD92:$AD112,$AD90,BB92:BB112)</f>
        <v>0</v>
      </c>
      <c r="BC90" s="1864"/>
      <c r="BD90" s="220"/>
      <c r="BE90" s="220"/>
      <c r="BF90" s="1190" t="s">
        <v>936</v>
      </c>
      <c r="BG90" s="1190"/>
      <c r="BH90" s="1190"/>
      <c r="BI90" s="1191"/>
      <c r="BJ90" s="1191"/>
    </row>
    <row s="220" customFormat="1" customHeight="1" ht="14.25">
      <c r="B91" s="220"/>
      <c r="C91" s="220"/>
      <c r="D91" s="220"/>
      <c r="E91" s="922">
        <v>15</v>
      </c>
      <c r="F91" s="920" cm="1" t="str">
        <f t="array" ref="F91:F91">OFFSET(G91,-1,-1)</f>
        <v>1</v>
      </c>
      <c r="G91" s="220"/>
      <c r="H91" s="220"/>
      <c r="I91" s="220"/>
      <c r="J91" s="220"/>
      <c r="K91" s="220"/>
      <c r="L91" s="220"/>
      <c r="M91" s="220"/>
      <c r="N91" s="220"/>
      <c r="O91" s="220"/>
      <c r="P91" s="220"/>
      <c r="Q91" s="220"/>
      <c r="R91" s="220"/>
      <c r="S91" s="220"/>
      <c r="T91" s="943" cm="1" t="str">
        <f t="array" ref="T91:T91">T90</f>
        <v>true</v>
      </c>
      <c r="U91" s="220"/>
      <c r="V91" s="220"/>
      <c r="W91" s="220"/>
      <c r="X91" s="220"/>
      <c r="Y91" s="220"/>
      <c r="Z91" s="220"/>
      <c r="AA91" s="220"/>
      <c r="AB91" s="551" t="s">
        <v>474</v>
      </c>
      <c r="AC91" s="688" t="s">
        <v>902</v>
      </c>
      <c r="AD91" s="1515" t="s">
        <v>937</v>
      </c>
      <c r="AE91" s="264">
        <f>IF(AE90=0,0,AE88/AE90)*1000</f>
        <v>0</v>
      </c>
      <c r="AF91" s="264">
        <f>IF(AF90=0,0,AF88/AF90)*1000</f>
        <v>1368.77709054097</v>
      </c>
      <c r="AG91" s="264">
        <f>IF(AG90=0,0,AG88/AG90)*1000</f>
        <v>1368.77709054097</v>
      </c>
      <c r="AH91" s="264">
        <f>IF(AH90=0,0,AH88/AH90)*1000</f>
        <v>0</v>
      </c>
      <c r="AI91" s="264">
        <f>IF(AI90=0,0,AI88/AI90)*1000</f>
        <v>2740.83475455174</v>
      </c>
      <c r="AJ91" s="1661">
        <f>IF(AJ90=0,0,AJ88/AJ90)*1000</f>
        <v>0</v>
      </c>
      <c r="AK91" s="1661">
        <f>IF(AK90=0,0,AK88/AK90)*1000</f>
        <v>0</v>
      </c>
      <c r="AL91" s="1669">
        <f>IF(AL90=0,0,AL88/AL90)*1000</f>
        <v>0</v>
      </c>
      <c r="AM91" s="1669">
        <f>IF(AM90=0,0,AM88/AM90)*1000</f>
        <v>0</v>
      </c>
      <c r="AN91" s="1669">
        <f>IF(AN90=0,0,AN88/AN90)*1000</f>
        <v>0</v>
      </c>
      <c r="AO91" s="1669">
        <f>IF(AO90=0,0,AO88/AO90)*1000</f>
        <v>0</v>
      </c>
      <c r="AP91" s="1669">
        <f>IF(AP90=0,0,AP88/AP90)*1000</f>
        <v>0</v>
      </c>
      <c r="AQ91" s="1669">
        <f>IF(AQ90=0,0,AQ88/AQ90)*1000</f>
        <v>0</v>
      </c>
      <c r="AR91" s="1669">
        <f>IF(AR90=0,0,AR88/AR90)*1000</f>
        <v>0</v>
      </c>
      <c r="AS91" s="264">
        <f>IF(AS90=0,0,AS88/AS90)*1000</f>
        <v>0</v>
      </c>
      <c r="AT91" s="1661">
        <f>IF(AT90=0,0,AT88/AT90)*1000</f>
        <v>0</v>
      </c>
      <c r="AU91" s="1661">
        <f>IF(AU90=0,0,AU88/AU90)*1000</f>
        <v>0</v>
      </c>
      <c r="AV91" s="1669">
        <f>IF(AV90=0,0,AV88/AV90)*1000</f>
        <v>0</v>
      </c>
      <c r="AW91" s="1669">
        <f>IF(AW90=0,0,AW88/AW90)*1000</f>
        <v>0</v>
      </c>
      <c r="AX91" s="1669">
        <f>IF(AX90=0,0,AX88/AX90)*1000</f>
        <v>0</v>
      </c>
      <c r="AY91" s="1669">
        <f>IF(AY90=0,0,AY88/AY90)*1000</f>
        <v>0</v>
      </c>
      <c r="AZ91" s="1669">
        <f>IF(AZ90=0,0,AZ88/AZ90)*1000</f>
        <v>0</v>
      </c>
      <c r="BA91" s="1669">
        <f>IF(BA90=0,0,BA88/BA90)*1000</f>
        <v>0</v>
      </c>
      <c r="BB91" s="1669">
        <f>IF(BB90=0,0,BB88/BB90)*1000</f>
        <v>0</v>
      </c>
      <c r="BC91" s="1864"/>
      <c r="BD91" s="220"/>
      <c r="BE91" s="220"/>
      <c r="BF91" s="1190" t="s">
        <v>938</v>
      </c>
      <c r="BG91" s="1190"/>
      <c r="BH91" s="1190"/>
      <c r="BI91" s="1191"/>
      <c r="BJ91" s="1191"/>
    </row>
    <row s="220" customFormat="1" customHeight="1" ht="14.25">
      <c r="A92" s="220"/>
      <c r="B92" s="220"/>
      <c r="C92" s="220"/>
      <c r="D92" s="220"/>
      <c r="E92" s="922">
        <v>15</v>
      </c>
      <c r="F92" s="920" cm="1" t="str">
        <f t="array" ref="F92:F92">OFFSET(G92,-1,-1)</f>
        <v>1</v>
      </c>
      <c r="G92" s="220"/>
      <c r="H92" s="220"/>
      <c r="I92" s="220"/>
      <c r="J92" s="220"/>
      <c r="K92" s="220"/>
      <c r="L92" s="220"/>
      <c r="M92" s="220"/>
      <c r="N92" s="220"/>
      <c r="O92" s="220"/>
      <c r="P92" s="220"/>
      <c r="Q92" s="220"/>
      <c r="R92" s="220"/>
      <c r="S92" s="220"/>
      <c r="T92" s="921" cm="1" t="str">
        <f t="array" ref="T92:T92">T90</f>
        <v>true</v>
      </c>
      <c r="U92" s="220"/>
      <c r="V92" s="220"/>
      <c r="W92" s="220"/>
      <c r="X92" s="220"/>
      <c r="Y92" s="220"/>
      <c r="Z92" s="220"/>
      <c r="AA92" s="220"/>
      <c r="AB92" s="213" t="s">
        <v>470</v>
      </c>
      <c r="AC92" s="340" t="s">
        <v>907</v>
      </c>
      <c r="AD92" s="341"/>
      <c r="AE92" s="342"/>
      <c r="AF92" s="342"/>
      <c r="AG92" s="342"/>
      <c r="AH92" s="342"/>
      <c r="AI92" s="342"/>
      <c r="AJ92" s="342"/>
      <c r="AK92" s="342"/>
      <c r="AL92" s="342"/>
      <c r="AM92" s="342"/>
      <c r="AN92" s="342"/>
      <c r="AO92" s="342"/>
      <c r="AP92" s="342"/>
      <c r="AQ92" s="342"/>
      <c r="AR92" s="342"/>
      <c r="AS92" s="342"/>
      <c r="AT92" s="342"/>
      <c r="AU92" s="342"/>
      <c r="AV92" s="342"/>
      <c r="AW92" s="342"/>
      <c r="AX92" s="342"/>
      <c r="AY92" s="342"/>
      <c r="AZ92" s="342"/>
      <c r="BA92" s="342"/>
      <c r="BB92" s="342"/>
      <c r="BC92" s="1092"/>
      <c r="BD92" s="220"/>
      <c r="BE92" s="220"/>
      <c r="BF92" s="1190"/>
      <c r="BG92" s="1190"/>
      <c r="BH92" s="1190"/>
      <c r="BI92" s="1191"/>
      <c r="BJ92" s="1191"/>
    </row>
    <row s="220" customFormat="1" customHeight="1" ht="17.25" hidden="1">
      <c r="A93" s="220"/>
      <c r="B93" s="220"/>
      <c r="C93" s="220"/>
      <c r="D93" s="220"/>
      <c r="E93" s="922">
        <v>0</v>
      </c>
      <c r="F93" s="920" cm="1" t="str">
        <f t="array" ref="F93:F93">OFFSET(G93,-1,-1)</f>
        <v>1</v>
      </c>
      <c r="G93" s="220"/>
      <c r="H93" s="220"/>
      <c r="I93" s="220"/>
      <c r="J93" s="220"/>
      <c r="K93" s="220"/>
      <c r="L93" s="220"/>
      <c r="M93" s="220"/>
      <c r="N93" s="220"/>
      <c r="O93" s="220"/>
      <c r="P93" s="220"/>
      <c r="Q93" s="220"/>
      <c r="R93" s="220"/>
      <c r="S93" s="220"/>
      <c r="T93" s="921" cm="1" t="str">
        <f t="array" ref="T93:T93">T92</f>
        <v>true</v>
      </c>
      <c r="U93" s="220"/>
      <c r="V93" s="220"/>
      <c r="W93" s="220"/>
      <c r="X93" s="220"/>
      <c r="Y93" s="220"/>
      <c r="Z93" s="220"/>
      <c r="AA93" s="220"/>
      <c r="AB93" s="283"/>
      <c r="AC93" s="278"/>
      <c r="AD93" s="606"/>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90"/>
      <c r="BD93" s="220"/>
      <c r="BE93" s="220"/>
      <c r="BF93" s="1190"/>
      <c r="BG93" s="1190"/>
      <c r="BH93" s="1190"/>
      <c r="BI93" s="1191"/>
      <c r="BJ93" s="1191"/>
    </row>
    <row s="220" customFormat="1" customHeight="1" ht="14.25" hidden="1">
      <c r="A94" s="1123" t="str">
        <f>"checkCosts_4."&amp;F94&amp;"."&amp;Y94</f>
        <v>checkCosts_4.1.0</v>
      </c>
      <c r="E94" s="922">
        <v>15</v>
      </c>
      <c r="F94" s="920" cm="1" t="str">
        <f t="array" ref="F94:F94">OFFSET(G94,-1,-1)</f>
        <v>1</v>
      </c>
      <c r="H94" s="152" cm="1" t="str">
        <f t="array" ref="H94:H94">AC94</f>
        <v>0</v>
      </c>
      <c r="I94" s="212" t="s">
        <v>894</v>
      </c>
      <c r="T94" s="921">
        <f>AND(F94&gt;0,Y94&gt;0)</f>
        <v>0</v>
      </c>
      <c r="W94" s="168" t="s">
        <v>235</v>
      </c>
      <c r="Y94" s="180">
        <v>0</v>
      </c>
      <c r="AA94" s="1513" t="s">
        <v>219</v>
      </c>
      <c r="AB94" s="285" t="str">
        <f>"2.1."&amp;Y94</f>
        <v>2.1.0</v>
      </c>
      <c r="AC94" s="601"/>
      <c r="AD94" s="607" t="s">
        <v>799</v>
      </c>
      <c r="AE94" s="1852">
        <f>AE96*AE97/1000</f>
        <v>0</v>
      </c>
      <c r="AF94" s="62"/>
      <c r="AG94" s="62"/>
      <c r="AH94" s="1852">
        <f>AH96*AH97/1000</f>
        <v>0</v>
      </c>
      <c r="AI94" s="280"/>
      <c r="AJ94" s="62"/>
      <c r="AK94" s="62"/>
      <c r="AL94" s="62"/>
      <c r="AM94" s="62"/>
      <c r="AN94" s="62"/>
      <c r="AO94" s="62"/>
      <c r="AP94" s="62"/>
      <c r="AQ94" s="62"/>
      <c r="AR94" s="62"/>
      <c r="AS94" s="1853">
        <f>AS96*AS97/1000</f>
        <v>0</v>
      </c>
      <c r="AT94" s="1852">
        <f>AT96*AT97/1000</f>
        <v>0</v>
      </c>
      <c r="AU94" s="1852">
        <f>AU96*AU97/1000</f>
        <v>0</v>
      </c>
      <c r="AV94" s="1852">
        <f>AV96*AV97/1000</f>
        <v>0</v>
      </c>
      <c r="AW94" s="1852">
        <f>AW96*AW97/1000</f>
        <v>0</v>
      </c>
      <c r="AX94" s="1852">
        <f>AX96*AX97/1000</f>
        <v>0</v>
      </c>
      <c r="AY94" s="1852">
        <f>AY96*AY97/1000</f>
        <v>0</v>
      </c>
      <c r="AZ94" s="1852">
        <f>AZ96*AZ97/1000</f>
        <v>0</v>
      </c>
      <c r="BA94" s="1852">
        <f>BA96*BA97/1000</f>
        <v>0</v>
      </c>
      <c r="BB94" s="1852">
        <f>BB96*BB97/1000</f>
        <v>0</v>
      </c>
      <c r="BC94" s="104"/>
      <c r="BF94" s="1190" t="s">
        <v>939</v>
      </c>
      <c r="BG94" s="1190" t="s">
        <v>940</v>
      </c>
      <c r="BH94" s="1190" cm="1" t="str">
        <f t="array" ref="BH94:BH94">AC94</f>
        <v>0</v>
      </c>
      <c r="BI94" s="1191"/>
      <c r="BJ94" s="1191" t="b">
        <v>1</v>
      </c>
    </row>
    <row s="220" customFormat="1" customHeight="1" ht="14.25" hidden="1">
      <c r="E95" s="922">
        <v>15</v>
      </c>
      <c r="F95" s="920" cm="1" t="str">
        <f t="array" ref="F95:F95">OFFSET(G95,-1,-1)</f>
        <v>1</v>
      </c>
      <c r="L95" s="210" cm="1" t="str">
        <f t="array" ref="L95:L95">INDEX('Общие сведения'!$AK$169:$AK$202,MATCH($F95,'Общие сведения'!$Z$169:$Z$202,0))</f>
        <v>одноставочный</v>
      </c>
      <c r="R95" s="190" t="s">
        <v>931</v>
      </c>
      <c r="T95" s="921">
        <f>AND(T94,L95="двухставочный")</f>
        <v>0</v>
      </c>
      <c r="AA95" s="1513"/>
      <c r="AB95" s="285"/>
      <c r="AC95" s="587" t="s">
        <v>933</v>
      </c>
      <c r="AD95" s="607" t="s">
        <v>799</v>
      </c>
      <c r="AE95" s="66"/>
      <c r="AF95" s="66"/>
      <c r="AG95" s="66"/>
      <c r="AH95" s="66"/>
      <c r="AI95" s="608"/>
      <c r="AJ95" s="66"/>
      <c r="AK95" s="66"/>
      <c r="AL95" s="66"/>
      <c r="AM95" s="66"/>
      <c r="AN95" s="66"/>
      <c r="AO95" s="66"/>
      <c r="AP95" s="66"/>
      <c r="AQ95" s="66"/>
      <c r="AR95" s="66"/>
      <c r="AS95" s="608"/>
      <c r="AT95" s="66"/>
      <c r="AU95" s="66"/>
      <c r="AV95" s="66"/>
      <c r="AW95" s="66"/>
      <c r="AX95" s="66"/>
      <c r="AY95" s="66"/>
      <c r="AZ95" s="66"/>
      <c r="BA95" s="66"/>
      <c r="BB95" s="66"/>
      <c r="BC95" s="105"/>
      <c r="BF95" s="1190" t="s">
        <v>941</v>
      </c>
      <c r="BG95" s="1190" t="s">
        <v>940</v>
      </c>
      <c r="BH95" s="1190" cm="1" t="str">
        <f t="array" ref="BH95:BH95">BH94</f>
        <v>0</v>
      </c>
      <c r="BI95" s="1191"/>
      <c r="BJ95" s="1191"/>
    </row>
    <row s="220" customFormat="1" customHeight="1" ht="14.25" hidden="1">
      <c r="B96" s="220"/>
      <c r="C96" s="220"/>
      <c r="D96" s="220"/>
      <c r="E96" s="922">
        <v>15</v>
      </c>
      <c r="F96" s="920" cm="1" t="str">
        <f t="array" ref="F96:F96">OFFSET(G96,-1,-1)</f>
        <v>1</v>
      </c>
      <c r="G96" s="220"/>
      <c r="H96" s="1512" cm="1" t="str">
        <f t="array" ref="H96:H96">H94</f>
        <v>0</v>
      </c>
      <c r="I96" s="220"/>
      <c r="J96" s="220"/>
      <c r="K96" s="220"/>
      <c r="L96" s="220"/>
      <c r="M96" s="220"/>
      <c r="N96" s="220"/>
      <c r="O96" s="220"/>
      <c r="P96" s="220"/>
      <c r="Q96" s="220"/>
      <c r="R96" s="220"/>
      <c r="S96" s="220"/>
      <c r="T96" s="943" cm="1" t="str">
        <f t="array" ref="T96:T96">T94</f>
        <v>false</v>
      </c>
      <c r="U96" s="220"/>
      <c r="V96" s="220"/>
      <c r="W96" s="220"/>
      <c r="X96" s="220"/>
      <c r="Y96" s="220"/>
      <c r="Z96" s="220"/>
      <c r="AA96" s="1513"/>
      <c r="AB96" s="512" t="str">
        <f>AB94&amp;".1"</f>
        <v>2.1.0.1</v>
      </c>
      <c r="AC96" s="587" t="s">
        <v>910</v>
      </c>
      <c r="AD96" s="1515" t="s">
        <v>937</v>
      </c>
      <c r="AE96" s="1854"/>
      <c r="AF96" s="666">
        <f>IF(AF97=0,0,AF94/AF97*1000)</f>
        <v>0</v>
      </c>
      <c r="AG96" s="666">
        <f>IF(AG97=0,0,AG94/AG97*1000)</f>
        <v>0</v>
      </c>
      <c r="AH96" s="1854"/>
      <c r="AI96" s="666">
        <f>IF(AI97=0,0,AI94/AI97*1000)</f>
        <v>0</v>
      </c>
      <c r="AJ96" s="666">
        <f>IF(AJ97=0,0,AJ94/AJ97*1000)</f>
        <v>0</v>
      </c>
      <c r="AK96" s="666">
        <f>IF(AK97=0,0,AK94/AK97*1000)</f>
        <v>0</v>
      </c>
      <c r="AL96" s="666">
        <f>IF(AL97=0,0,AL94/AL97*1000)</f>
        <v>0</v>
      </c>
      <c r="AM96" s="666">
        <f>IF(AM97=0,0,AM94/AM97*1000)</f>
        <v>0</v>
      </c>
      <c r="AN96" s="666">
        <f>IF(AN97=0,0,AN94/AN97*1000)</f>
        <v>0</v>
      </c>
      <c r="AO96" s="666">
        <f>IF(AO97=0,0,AO94/AO97*1000)</f>
        <v>0</v>
      </c>
      <c r="AP96" s="666">
        <f>IF(AP97=0,0,AP94/AP97*1000)</f>
        <v>0</v>
      </c>
      <c r="AQ96" s="666">
        <f>IF(AQ97=0,0,AQ94/AQ97*1000)</f>
        <v>0</v>
      </c>
      <c r="AR96" s="666">
        <f>IF(AR97=0,0,AR94/AR97*1000)</f>
        <v>0</v>
      </c>
      <c r="AS96" s="608"/>
      <c r="AT96" s="1854"/>
      <c r="AU96" s="1854"/>
      <c r="AV96" s="1854"/>
      <c r="AW96" s="1854"/>
      <c r="AX96" s="1854"/>
      <c r="AY96" s="1854"/>
      <c r="AZ96" s="1854"/>
      <c r="BA96" s="1854"/>
      <c r="BB96" s="1854"/>
      <c r="BC96" s="1847"/>
      <c r="BD96" s="220"/>
      <c r="BE96" s="220"/>
      <c r="BF96" s="1190" t="s">
        <v>942</v>
      </c>
      <c r="BG96" s="1190" t="s">
        <v>940</v>
      </c>
      <c r="BH96" s="1190" cm="1" t="str">
        <f t="array" ref="BH96:BH96">BH95</f>
        <v>0</v>
      </c>
      <c r="BI96" s="1191"/>
      <c r="BJ96" s="1191"/>
    </row>
    <row s="220" customFormat="1" customHeight="1" ht="14.25" hidden="1">
      <c r="A97" s="1123" t="str">
        <f>"checkVolume_4."&amp;F97&amp;"."&amp;Y94</f>
        <v>checkVolume_4.1.0</v>
      </c>
      <c r="E97" s="922">
        <v>15</v>
      </c>
      <c r="F97" s="920" cm="1" t="str">
        <f t="array" ref="F97:F97">OFFSET(G97,-1,-1)</f>
        <v>1</v>
      </c>
      <c r="H97" s="152" cm="1" t="str">
        <f t="array" ref="H97:H97">H94</f>
        <v>0</v>
      </c>
      <c r="T97" s="921" cm="1" t="str">
        <f t="array" ref="T97:T97">T94</f>
        <v>false</v>
      </c>
      <c r="AA97" s="1513"/>
      <c r="AB97" s="285" t="str">
        <f>AB94&amp;".2"</f>
        <v>2.1.0.2</v>
      </c>
      <c r="AC97" s="587" t="s">
        <v>943</v>
      </c>
      <c r="AD97" s="151" t="s">
        <v>586</v>
      </c>
      <c r="AE97" s="66"/>
      <c r="AF97" s="66"/>
      <c r="AG97" s="66"/>
      <c r="AH97" s="66"/>
      <c r="AI97" s="608"/>
      <c r="AJ97" s="66"/>
      <c r="AK97" s="66"/>
      <c r="AL97" s="66"/>
      <c r="AM97" s="66"/>
      <c r="AN97" s="66"/>
      <c r="AO97" s="66"/>
      <c r="AP97" s="66"/>
      <c r="AQ97" s="66"/>
      <c r="AR97" s="66"/>
      <c r="AS97" s="608"/>
      <c r="AT97" s="66"/>
      <c r="AU97" s="66"/>
      <c r="AV97" s="66"/>
      <c r="AW97" s="66"/>
      <c r="AX97" s="66"/>
      <c r="AY97" s="66"/>
      <c r="AZ97" s="66"/>
      <c r="BA97" s="66"/>
      <c r="BB97" s="66"/>
      <c r="BC97" s="74"/>
      <c r="BF97" s="1190" t="s">
        <v>944</v>
      </c>
      <c r="BG97" s="1190" t="s">
        <v>940</v>
      </c>
      <c r="BH97" s="1190" cm="1" t="str">
        <f t="array" ref="BH97:BH97">BH95</f>
        <v>0</v>
      </c>
      <c r="BI97" s="1191"/>
      <c r="BJ97" s="1191"/>
    </row>
    <row s="220" customFormat="1" customHeight="1" ht="14.25">
      <c r="A98" s="1123" t="str">
        <f>"checkCosts_4."&amp;F98&amp;"."&amp;Y98</f>
        <v>checkCosts_4.1.1</v>
      </c>
      <c r="B98" s="220"/>
      <c r="C98" s="220"/>
      <c r="D98" s="220"/>
      <c r="E98" s="922">
        <v>15</v>
      </c>
      <c r="F98" s="920" cm="1" t="str">
        <f t="array" ref="F98:F98">OFFSET(G98,-1,-1)</f>
        <v>1</v>
      </c>
      <c r="G98" s="220"/>
      <c r="H98" s="152" cm="1" t="str">
        <f t="array" ref="H98:H98">AC98</f>
        <v>ООО "НИИАР-ГЕНЕРАЦИЯ"::7329008990::732901001</v>
      </c>
      <c r="I98" s="212" t="s">
        <v>894</v>
      </c>
      <c r="J98" s="220"/>
      <c r="K98" s="220"/>
      <c r="L98" s="220"/>
      <c r="M98" s="220"/>
      <c r="N98" s="220"/>
      <c r="O98" s="220"/>
      <c r="P98" s="220"/>
      <c r="Q98" s="220"/>
      <c r="R98" s="220"/>
      <c r="S98" s="220"/>
      <c r="T98" s="921">
        <f>AND(F98&gt;0,Y98&gt;0)</f>
        <v>1</v>
      </c>
      <c r="U98" s="220"/>
      <c r="V98" s="220"/>
      <c r="W98" s="168"/>
      <c r="X98" s="220"/>
      <c r="Y98" s="180" t="s">
        <v>337</v>
      </c>
      <c r="Z98" s="220"/>
      <c r="AA98" s="1513" t="s">
        <v>219</v>
      </c>
      <c r="AB98" s="285" t="str">
        <f>"2.1."&amp;Y98</f>
        <v>2.1.1</v>
      </c>
      <c r="AC98" s="601" t="s">
        <v>956</v>
      </c>
      <c r="AD98" s="607" t="s">
        <v>799</v>
      </c>
      <c r="AE98" s="1852">
        <f>AE100*AE101/1000</f>
        <v>0</v>
      </c>
      <c r="AF98" s="1680">
        <v>140942.32</v>
      </c>
      <c r="AG98" s="1680" cm="1" t="str">
        <f t="array" ref="AG98:AG98">AF98</f>
        <v>140942.32</v>
      </c>
      <c r="AH98" s="1852">
        <f>AH100*AH101/1000</f>
        <v>0</v>
      </c>
      <c r="AI98" s="280">
        <v>297312.05</v>
      </c>
      <c r="AJ98" s="1680"/>
      <c r="AK98" s="1680"/>
      <c r="AL98" s="1680"/>
      <c r="AM98" s="1680"/>
      <c r="AN98" s="1680"/>
      <c r="AO98" s="1680"/>
      <c r="AP98" s="1680"/>
      <c r="AQ98" s="1680"/>
      <c r="AR98" s="1680"/>
      <c r="AS98" s="1853">
        <f>AS100*AS101/1000</f>
        <v>0</v>
      </c>
      <c r="AT98" s="1852">
        <f>AT100*AT101/1000</f>
        <v>0</v>
      </c>
      <c r="AU98" s="1852">
        <f>AU100*AU101/1000</f>
        <v>0</v>
      </c>
      <c r="AV98" s="1852">
        <f>AV100*AV101/1000</f>
        <v>0</v>
      </c>
      <c r="AW98" s="1852">
        <f>AW100*AW101/1000</f>
        <v>0</v>
      </c>
      <c r="AX98" s="1852">
        <f>AX100*AX101/1000</f>
        <v>0</v>
      </c>
      <c r="AY98" s="1852">
        <f>AY100*AY101/1000</f>
        <v>0</v>
      </c>
      <c r="AZ98" s="1852">
        <f>AZ100*AZ101/1000</f>
        <v>0</v>
      </c>
      <c r="BA98" s="1852">
        <f>BA100*BA101/1000</f>
        <v>0</v>
      </c>
      <c r="BB98" s="1852">
        <f>BB100*BB101/1000</f>
        <v>0</v>
      </c>
      <c r="BC98" s="1865"/>
      <c r="BD98" s="220"/>
      <c r="BE98" s="220"/>
      <c r="BF98" s="1190" t="s">
        <v>939</v>
      </c>
      <c r="BG98" s="1190" t="s">
        <v>940</v>
      </c>
      <c r="BH98" s="1190" cm="1" t="str">
        <f t="array" ref="BH98:BH98">AC98</f>
        <v>ООО "НИИАР-ГЕНЕРАЦИЯ"::7329008990::732901001</v>
      </c>
      <c r="BI98" s="1191"/>
      <c r="BJ98" s="1191" t="b">
        <v>1</v>
      </c>
    </row>
    <row s="220" customFormat="1" customHeight="1" ht="14.25" hidden="1">
      <c r="A99" s="220"/>
      <c r="B99" s="220"/>
      <c r="C99" s="220"/>
      <c r="D99" s="220"/>
      <c r="E99" s="922">
        <v>15</v>
      </c>
      <c r="F99" s="920" cm="1" t="str">
        <f t="array" ref="F99:F99">OFFSET(G99,-1,-1)</f>
        <v>1</v>
      </c>
      <c r="G99" s="220"/>
      <c r="H99" s="220"/>
      <c r="I99" s="220"/>
      <c r="J99" s="220"/>
      <c r="K99" s="220"/>
      <c r="L99" s="210" cm="1" t="str">
        <f t="array" ref="L99:L99">INDEX('Общие сведения'!$AK$169:$AK$202,MATCH($F99,'Общие сведения'!$Z$169:$Z$202,0))</f>
        <v>одноставочный</v>
      </c>
      <c r="M99" s="220"/>
      <c r="N99" s="220"/>
      <c r="O99" s="220"/>
      <c r="P99" s="220"/>
      <c r="Q99" s="220"/>
      <c r="R99" s="190" t="s">
        <v>931</v>
      </c>
      <c r="S99" s="220"/>
      <c r="T99" s="921">
        <f>AND(T98,L99="двухставочный")</f>
        <v>0</v>
      </c>
      <c r="U99" s="220"/>
      <c r="V99" s="220"/>
      <c r="W99" s="220"/>
      <c r="X99" s="220"/>
      <c r="Y99" s="220"/>
      <c r="Z99" s="220"/>
      <c r="AA99" s="1513"/>
      <c r="AB99" s="285"/>
      <c r="AC99" s="587" t="s">
        <v>933</v>
      </c>
      <c r="AD99" s="607" t="s">
        <v>799</v>
      </c>
      <c r="AE99" s="66"/>
      <c r="AF99" s="66"/>
      <c r="AG99" s="66"/>
      <c r="AH99" s="66"/>
      <c r="AI99" s="608"/>
      <c r="AJ99" s="66"/>
      <c r="AK99" s="66"/>
      <c r="AL99" s="66"/>
      <c r="AM99" s="66"/>
      <c r="AN99" s="66"/>
      <c r="AO99" s="66"/>
      <c r="AP99" s="66"/>
      <c r="AQ99" s="66"/>
      <c r="AR99" s="66"/>
      <c r="AS99" s="608"/>
      <c r="AT99" s="66"/>
      <c r="AU99" s="66"/>
      <c r="AV99" s="66"/>
      <c r="AW99" s="66"/>
      <c r="AX99" s="66"/>
      <c r="AY99" s="66"/>
      <c r="AZ99" s="66"/>
      <c r="BA99" s="66"/>
      <c r="BB99" s="66"/>
      <c r="BC99" s="105"/>
      <c r="BD99" s="220"/>
      <c r="BE99" s="220"/>
      <c r="BF99" s="1190" t="s">
        <v>941</v>
      </c>
      <c r="BG99" s="1190" t="s">
        <v>940</v>
      </c>
      <c r="BH99" s="1190" cm="1" t="str">
        <f t="array" ref="BH99:BH99">BH98</f>
        <v>ООО "НИИАР-ГЕНЕРАЦИЯ"::7329008990::732901001</v>
      </c>
      <c r="BI99" s="1191"/>
      <c r="BJ99" s="1191"/>
    </row>
    <row s="220" customFormat="1" customHeight="1" ht="14.25">
      <c r="B100" s="220"/>
      <c r="C100" s="220"/>
      <c r="D100" s="220"/>
      <c r="E100" s="922">
        <v>15</v>
      </c>
      <c r="F100" s="920" cm="1" t="str">
        <f t="array" ref="F100:F100">OFFSET(G100,-1,-1)</f>
        <v>1</v>
      </c>
      <c r="G100" s="220"/>
      <c r="H100" s="1512" cm="1" t="str">
        <f t="array" ref="H100:H100">H98</f>
        <v>ООО "НИИАР-ГЕНЕРАЦИЯ"::7329008990::732901001</v>
      </c>
      <c r="I100" s="220"/>
      <c r="J100" s="220"/>
      <c r="K100" s="220"/>
      <c r="L100" s="220"/>
      <c r="M100" s="220"/>
      <c r="N100" s="220"/>
      <c r="O100" s="220"/>
      <c r="P100" s="220"/>
      <c r="Q100" s="220"/>
      <c r="R100" s="220"/>
      <c r="S100" s="220"/>
      <c r="T100" s="943" cm="1" t="str">
        <f t="array" ref="T100:T100">T98</f>
        <v>true</v>
      </c>
      <c r="U100" s="220"/>
      <c r="V100" s="220"/>
      <c r="W100" s="220"/>
      <c r="X100" s="220"/>
      <c r="Y100" s="220"/>
      <c r="Z100" s="220"/>
      <c r="AA100" s="1513"/>
      <c r="AB100" s="512" t="str">
        <f>AB98&amp;".1"</f>
        <v>2.1.1.1</v>
      </c>
      <c r="AC100" s="587" t="s">
        <v>910</v>
      </c>
      <c r="AD100" s="1515" t="s">
        <v>937</v>
      </c>
      <c r="AE100" s="1700"/>
      <c r="AF100" s="1866">
        <f>IF(AF101=0,0,AF98/AF101*1000)</f>
        <v>1368.77709054097</v>
      </c>
      <c r="AG100" s="1866">
        <f>IF(AG101=0,0,AG98/AG101*1000)</f>
        <v>1368.77709054097</v>
      </c>
      <c r="AH100" s="1700"/>
      <c r="AI100" s="1855">
        <f>IF(AI101=0,0,AI98/AI101*1000)</f>
        <v>2740.83475455174</v>
      </c>
      <c r="AJ100" s="1866">
        <f>IF(AJ101=0,0,AJ98/AJ101*1000)</f>
        <v>0</v>
      </c>
      <c r="AK100" s="1866">
        <f>IF(AK101=0,0,AK98/AK101*1000)</f>
        <v>0</v>
      </c>
      <c r="AL100" s="1866">
        <f>IF(AL101=0,0,AL98/AL101*1000)</f>
        <v>0</v>
      </c>
      <c r="AM100" s="1866">
        <f>IF(AM101=0,0,AM98/AM101*1000)</f>
        <v>0</v>
      </c>
      <c r="AN100" s="1866">
        <f>IF(AN101=0,0,AN98/AN101*1000)</f>
        <v>0</v>
      </c>
      <c r="AO100" s="1866">
        <f>IF(AO101=0,0,AO98/AO101*1000)</f>
        <v>0</v>
      </c>
      <c r="AP100" s="1866">
        <f>IF(AP101=0,0,AP98/AP101*1000)</f>
        <v>0</v>
      </c>
      <c r="AQ100" s="1866">
        <f>IF(AQ101=0,0,AQ98/AQ101*1000)</f>
        <v>0</v>
      </c>
      <c r="AR100" s="1866">
        <f>IF(AR101=0,0,AR98/AR101*1000)</f>
        <v>0</v>
      </c>
      <c r="AS100" s="608"/>
      <c r="AT100" s="1700"/>
      <c r="AU100" s="1700"/>
      <c r="AV100" s="1700"/>
      <c r="AW100" s="1700"/>
      <c r="AX100" s="1700"/>
      <c r="AY100" s="1700"/>
      <c r="AZ100" s="1700"/>
      <c r="BA100" s="1700"/>
      <c r="BB100" s="1700"/>
      <c r="BC100" s="1792"/>
      <c r="BD100" s="220"/>
      <c r="BE100" s="220"/>
      <c r="BF100" s="1190" t="s">
        <v>942</v>
      </c>
      <c r="BG100" s="1190" t="s">
        <v>940</v>
      </c>
      <c r="BH100" s="1190" cm="1" t="str">
        <f t="array" ref="BH100:BH100">BH99</f>
        <v>ООО "НИИАР-ГЕНЕРАЦИЯ"::7329008990::732901001</v>
      </c>
      <c r="BI100" s="1191"/>
      <c r="BJ100" s="1191"/>
    </row>
    <row s="220" customFormat="1" customHeight="1" ht="14.25">
      <c r="A101" s="1123" t="str">
        <f>"checkVolume_4."&amp;F101&amp;"."&amp;Y98</f>
        <v>checkVolume_4.1.1</v>
      </c>
      <c r="B101" s="220"/>
      <c r="C101" s="220"/>
      <c r="D101" s="220"/>
      <c r="E101" s="922">
        <v>15</v>
      </c>
      <c r="F101" s="920" cm="1" t="str">
        <f t="array" ref="F101:F101">OFFSET(G101,-1,-1)</f>
        <v>1</v>
      </c>
      <c r="G101" s="220"/>
      <c r="H101" s="152" cm="1" t="str">
        <f t="array" ref="H101:H101">H98</f>
        <v>ООО "НИИАР-ГЕНЕРАЦИЯ"::7329008990::732901001</v>
      </c>
      <c r="I101" s="220"/>
      <c r="J101" s="220"/>
      <c r="K101" s="220"/>
      <c r="L101" s="220"/>
      <c r="M101" s="220"/>
      <c r="N101" s="220"/>
      <c r="O101" s="220"/>
      <c r="P101" s="220"/>
      <c r="Q101" s="220"/>
      <c r="R101" s="220"/>
      <c r="S101" s="220"/>
      <c r="T101" s="921" cm="1" t="str">
        <f t="array" ref="T101:T101">T98</f>
        <v>true</v>
      </c>
      <c r="U101" s="220"/>
      <c r="V101" s="220"/>
      <c r="W101" s="220"/>
      <c r="X101" s="220"/>
      <c r="Y101" s="220"/>
      <c r="Z101" s="220"/>
      <c r="AA101" s="1513"/>
      <c r="AB101" s="285" t="str">
        <f>AB98&amp;".2"</f>
        <v>2.1.1.2</v>
      </c>
      <c r="AC101" s="587" t="s">
        <v>943</v>
      </c>
      <c r="AD101" s="151" t="s">
        <v>586</v>
      </c>
      <c r="AE101" s="1700">
        <v>91362.34</v>
      </c>
      <c r="AF101" s="1700">
        <v>102969.52</v>
      </c>
      <c r="AG101" s="1700" cm="1" t="str">
        <f t="array" ref="AG101:AG101">AF101</f>
        <v>102969.52</v>
      </c>
      <c r="AH101" s="1700">
        <v>91362.34</v>
      </c>
      <c r="AI101" s="608">
        <v>108475</v>
      </c>
      <c r="AJ101" s="1700"/>
      <c r="AK101" s="1700"/>
      <c r="AL101" s="1700"/>
      <c r="AM101" s="1700"/>
      <c r="AN101" s="1700"/>
      <c r="AO101" s="1700"/>
      <c r="AP101" s="1700"/>
      <c r="AQ101" s="1700"/>
      <c r="AR101" s="1700"/>
      <c r="AS101" s="608" cm="1" t="str">
        <f t="array" ref="AS101:AS101">AH101</f>
        <v>91362.34</v>
      </c>
      <c r="AT101" s="1700"/>
      <c r="AU101" s="1700"/>
      <c r="AV101" s="1700"/>
      <c r="AW101" s="1700"/>
      <c r="AX101" s="1700"/>
      <c r="AY101" s="1700"/>
      <c r="AZ101" s="1700"/>
      <c r="BA101" s="1700"/>
      <c r="BB101" s="1700"/>
      <c r="BC101" s="1792"/>
      <c r="BD101" s="220"/>
      <c r="BE101" s="220"/>
      <c r="BF101" s="1190" t="s">
        <v>944</v>
      </c>
      <c r="BG101" s="1190" t="s">
        <v>940</v>
      </c>
      <c r="BH101" s="1190" cm="1" t="str">
        <f t="array" ref="BH101:BH101">BH99</f>
        <v>ООО "НИИАР-ГЕНЕРАЦИЯ"::7329008990::732901001</v>
      </c>
      <c r="BI101" s="1191"/>
      <c r="BJ101" s="1191"/>
    </row>
    <row s="220" customFormat="1" customHeight="1" ht="14.25">
      <c r="A102" s="220"/>
      <c r="B102" s="220"/>
      <c r="C102" s="220"/>
      <c r="D102" s="220"/>
      <c r="E102" s="922">
        <v>15</v>
      </c>
      <c r="F102" s="920" cm="1" t="str">
        <f t="array" ref="F102:F102">OFFSET(G102,-1,-1)</f>
        <v>1</v>
      </c>
      <c r="G102" s="220"/>
      <c r="H102" s="220"/>
      <c r="I102" s="220"/>
      <c r="J102" s="220"/>
      <c r="K102" s="220"/>
      <c r="L102" s="220"/>
      <c r="M102" s="220"/>
      <c r="N102" s="220"/>
      <c r="O102" s="220"/>
      <c r="P102" s="220"/>
      <c r="Q102" s="220"/>
      <c r="R102" s="220"/>
      <c r="S102" s="220"/>
      <c r="T102" s="921">
        <f>F102&gt;0</f>
        <v>1</v>
      </c>
      <c r="U102" s="220"/>
      <c r="V102" s="220"/>
      <c r="W102" s="371" t="s">
        <v>945</v>
      </c>
      <c r="X102" s="220"/>
      <c r="Y102" s="220"/>
      <c r="Z102" s="220"/>
      <c r="AA102" s="220"/>
      <c r="AB102" s="815"/>
      <c r="AC102" s="585" t="s">
        <v>946</v>
      </c>
      <c r="AD102" s="585"/>
      <c r="AE102" s="300"/>
      <c r="AF102" s="300"/>
      <c r="AG102" s="300"/>
      <c r="AH102" s="300"/>
      <c r="AI102" s="300"/>
      <c r="AJ102" s="300"/>
      <c r="AK102" s="300"/>
      <c r="AL102" s="300"/>
      <c r="AM102" s="300"/>
      <c r="AN102" s="300"/>
      <c r="AO102" s="300"/>
      <c r="AP102" s="300"/>
      <c r="AQ102" s="300"/>
      <c r="AR102" s="300"/>
      <c r="AS102" s="300"/>
      <c r="AT102" s="300"/>
      <c r="AU102" s="300"/>
      <c r="AV102" s="300"/>
      <c r="AW102" s="300"/>
      <c r="AX102" s="300"/>
      <c r="AY102" s="300"/>
      <c r="AZ102" s="300"/>
      <c r="BA102" s="300"/>
      <c r="BB102" s="300"/>
      <c r="BC102" s="1098"/>
      <c r="BD102" s="220"/>
      <c r="BE102" s="220"/>
      <c r="BF102" s="1190"/>
      <c r="BG102" s="1190"/>
      <c r="BH102" s="1190"/>
      <c r="BI102" s="1191" t="s">
        <v>940</v>
      </c>
      <c r="BJ102" s="1191"/>
    </row>
    <row s="220" customFormat="1" customHeight="1" ht="14.25">
      <c r="A103" s="220"/>
      <c r="B103" s="220"/>
      <c r="C103" s="220"/>
      <c r="D103" s="220"/>
      <c r="E103" s="922">
        <v>15</v>
      </c>
      <c r="F103" s="920" cm="1" t="str">
        <f t="array" ref="F103:F103">OFFSET(G103,-1,-1)</f>
        <v>1</v>
      </c>
      <c r="G103" s="220"/>
      <c r="H103" s="220"/>
      <c r="I103" s="220"/>
      <c r="J103" s="220"/>
      <c r="K103" s="220"/>
      <c r="L103" s="220"/>
      <c r="M103" s="220"/>
      <c r="N103" s="220"/>
      <c r="O103" s="220"/>
      <c r="P103" s="220"/>
      <c r="Q103" s="220"/>
      <c r="R103" s="220"/>
      <c r="S103" s="220"/>
      <c r="T103" s="921">
        <f>F103&gt;0</f>
        <v>1</v>
      </c>
      <c r="U103" s="220"/>
      <c r="V103" s="220"/>
      <c r="W103" s="220"/>
      <c r="X103" s="220"/>
      <c r="Y103" s="220"/>
      <c r="Z103" s="220"/>
      <c r="AA103" s="220"/>
      <c r="AB103" s="213" t="s">
        <v>474</v>
      </c>
      <c r="AC103" s="340" t="s">
        <v>916</v>
      </c>
      <c r="AD103" s="341"/>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1092"/>
      <c r="BD103" s="220"/>
      <c r="BE103" s="220"/>
      <c r="BF103" s="1190"/>
      <c r="BG103" s="1190"/>
      <c r="BH103" s="1190"/>
      <c r="BI103" s="1191"/>
      <c r="BJ103" s="1191"/>
    </row>
    <row s="220" customFormat="1" customHeight="1" ht="17.25" hidden="1">
      <c r="A104" s="220"/>
      <c r="B104" s="220"/>
      <c r="C104" s="220"/>
      <c r="D104" s="220"/>
      <c r="E104" s="922">
        <v>0</v>
      </c>
      <c r="F104" s="920" cm="1" t="str">
        <f t="array" ref="F104:F104">OFFSET(G104,-1,-1)</f>
        <v>1</v>
      </c>
      <c r="G104" s="220"/>
      <c r="H104" s="220"/>
      <c r="I104" s="220"/>
      <c r="J104" s="220"/>
      <c r="K104" s="220"/>
      <c r="L104" s="220"/>
      <c r="M104" s="220"/>
      <c r="N104" s="220"/>
      <c r="O104" s="220"/>
      <c r="P104" s="220"/>
      <c r="Q104" s="220"/>
      <c r="R104" s="220"/>
      <c r="S104" s="220"/>
      <c r="T104" s="921">
        <f>F104&gt;0</f>
        <v>1</v>
      </c>
      <c r="U104" s="220"/>
      <c r="V104" s="220"/>
      <c r="W104" s="220"/>
      <c r="X104" s="220"/>
      <c r="Y104" s="220"/>
      <c r="Z104" s="220"/>
      <c r="AA104" s="220"/>
      <c r="AB104" s="283"/>
      <c r="AC104" s="278"/>
      <c r="AD104" s="277"/>
      <c r="AE104" s="584"/>
      <c r="AF104" s="584"/>
      <c r="AG104" s="584"/>
      <c r="AH104" s="584"/>
      <c r="AI104" s="584"/>
      <c r="AJ104" s="584"/>
      <c r="AK104" s="584"/>
      <c r="AL104" s="584"/>
      <c r="AM104" s="584"/>
      <c r="AN104" s="584"/>
      <c r="AO104" s="584"/>
      <c r="AP104" s="584"/>
      <c r="AQ104" s="584"/>
      <c r="AR104" s="584"/>
      <c r="AS104" s="584"/>
      <c r="AT104" s="584"/>
      <c r="AU104" s="584"/>
      <c r="AV104" s="584"/>
      <c r="AW104" s="584"/>
      <c r="AX104" s="584"/>
      <c r="AY104" s="584"/>
      <c r="AZ104" s="584"/>
      <c r="BA104" s="584"/>
      <c r="BB104" s="584"/>
      <c r="BC104" s="80"/>
      <c r="BD104" s="220"/>
      <c r="BE104" s="220"/>
      <c r="BF104" s="1190"/>
      <c r="BG104" s="1190"/>
      <c r="BH104" s="1190"/>
      <c r="BI104" s="1191"/>
      <c r="BJ104" s="1191"/>
    </row>
    <row s="220" customFormat="1" customHeight="1" ht="14.25" hidden="1">
      <c r="A105" s="220"/>
      <c r="B105" s="220"/>
      <c r="C105" s="220"/>
      <c r="D105" s="220"/>
      <c r="E105" s="922">
        <v>15</v>
      </c>
      <c r="F105" s="920" cm="1" t="str">
        <f t="array" ref="F105:F105">OFFSET(G105,-1,-1)</f>
        <v>1</v>
      </c>
      <c r="G105" s="220"/>
      <c r="H105" s="152" cm="1" t="str">
        <f t="array" ref="H105:H105">AC105</f>
        <v>0</v>
      </c>
      <c r="I105" s="152" t="s">
        <v>894</v>
      </c>
      <c r="J105" s="220"/>
      <c r="K105" s="220"/>
      <c r="L105" s="220"/>
      <c r="M105" s="220"/>
      <c r="N105" s="220"/>
      <c r="O105" s="220"/>
      <c r="P105" s="220"/>
      <c r="Q105" s="220"/>
      <c r="R105" s="220"/>
      <c r="S105" s="220"/>
      <c r="T105" s="921">
        <f>AND(F105&gt;0,Y105&gt;0)</f>
        <v>0</v>
      </c>
      <c r="U105" s="220"/>
      <c r="V105" s="220"/>
      <c r="W105" s="168" t="s">
        <v>235</v>
      </c>
      <c r="X105" s="220"/>
      <c r="Y105" s="180">
        <v>0</v>
      </c>
      <c r="Z105" s="220"/>
      <c r="AA105" s="1513" t="s">
        <v>219</v>
      </c>
      <c r="AB105" s="151" t="str">
        <f>"2.3."&amp;Y105</f>
        <v>2.3.0</v>
      </c>
      <c r="AC105" s="601"/>
      <c r="AD105" s="151" t="s">
        <v>799</v>
      </c>
      <c r="AE105" s="588">
        <f>AE108+AE110</f>
        <v>0</v>
      </c>
      <c r="AF105" s="588">
        <f>AF108+AF110</f>
        <v>0</v>
      </c>
      <c r="AG105" s="588">
        <f>AG108+AG110</f>
        <v>0</v>
      </c>
      <c r="AH105" s="588">
        <f>AH108+AH110</f>
        <v>0</v>
      </c>
      <c r="AI105" s="588">
        <f>AI108+AI110</f>
        <v>0</v>
      </c>
      <c r="AJ105" s="1666">
        <f>AJ108+AJ110</f>
        <v>0</v>
      </c>
      <c r="AK105" s="1666">
        <f>AK108+AK110</f>
        <v>0</v>
      </c>
      <c r="AL105" s="65">
        <f>AL108+AL110</f>
        <v>0</v>
      </c>
      <c r="AM105" s="65">
        <f>AM108+AM110</f>
        <v>0</v>
      </c>
      <c r="AN105" s="65">
        <f>AN108+AN110</f>
        <v>0</v>
      </c>
      <c r="AO105" s="65">
        <f>AO108+AO110</f>
        <v>0</v>
      </c>
      <c r="AP105" s="65">
        <f>AP108+AP110</f>
        <v>0</v>
      </c>
      <c r="AQ105" s="65">
        <f>AQ108+AQ110</f>
        <v>0</v>
      </c>
      <c r="AR105" s="65">
        <f>AR108+AR110</f>
        <v>0</v>
      </c>
      <c r="AS105" s="588">
        <f>AS108+AS110</f>
        <v>0</v>
      </c>
      <c r="AT105" s="1666">
        <f>AT108+AT110</f>
        <v>0</v>
      </c>
      <c r="AU105" s="1666">
        <f>AU108+AU110</f>
        <v>0</v>
      </c>
      <c r="AV105" s="65">
        <f>AV108+AV110</f>
        <v>0</v>
      </c>
      <c r="AW105" s="65">
        <f>AW108+AW110</f>
        <v>0</v>
      </c>
      <c r="AX105" s="65">
        <f>AX108+AX110</f>
        <v>0</v>
      </c>
      <c r="AY105" s="65">
        <f>AY108+AY110</f>
        <v>0</v>
      </c>
      <c r="AZ105" s="65">
        <f>AZ108+AZ110</f>
        <v>0</v>
      </c>
      <c r="BA105" s="65">
        <f>BA108+BA110</f>
        <v>0</v>
      </c>
      <c r="BB105" s="65">
        <f>BB108+BB110</f>
        <v>0</v>
      </c>
      <c r="BC105" s="81"/>
      <c r="BD105" s="220"/>
      <c r="BE105" s="220"/>
      <c r="BF105" s="1190" t="s">
        <v>939</v>
      </c>
      <c r="BG105" s="1190" t="s">
        <v>947</v>
      </c>
      <c r="BH105" s="1190" cm="1" t="str">
        <f t="array" ref="BH105:BH105">AC105</f>
        <v>0</v>
      </c>
      <c r="BI105" s="1191"/>
      <c r="BJ105" s="1191" t="b">
        <v>1</v>
      </c>
    </row>
    <row s="220" customFormat="1" customHeight="1" ht="14.25" hidden="1">
      <c r="A106" s="220"/>
      <c r="B106" s="220"/>
      <c r="C106" s="220"/>
      <c r="D106" s="220"/>
      <c r="E106" s="922">
        <v>15</v>
      </c>
      <c r="F106" s="920" cm="1" t="str">
        <f t="array" ref="F106:F106">OFFSET(G106,-1,-1)</f>
        <v>1</v>
      </c>
      <c r="G106" s="220"/>
      <c r="H106" s="220"/>
      <c r="I106" s="220"/>
      <c r="J106" s="220"/>
      <c r="K106" s="220"/>
      <c r="L106" s="210" cm="1" t="str">
        <f t="array" ref="L106:L106">INDEX('Общие сведения'!$AK$169:$AK$202,MATCH($F106,'Общие сведения'!$Z$169:$Z$202,0))</f>
        <v>одноставочный</v>
      </c>
      <c r="M106" s="220"/>
      <c r="N106" s="220"/>
      <c r="O106" s="220"/>
      <c r="P106" s="220"/>
      <c r="Q106" s="220"/>
      <c r="R106" s="190" t="s">
        <v>931</v>
      </c>
      <c r="S106" s="220"/>
      <c r="T106" s="921">
        <f>AND(T105,L106="двухставочный")</f>
        <v>0</v>
      </c>
      <c r="U106" s="220"/>
      <c r="V106" s="220"/>
      <c r="W106" s="220"/>
      <c r="X106" s="220"/>
      <c r="Y106" s="220"/>
      <c r="Z106" s="220"/>
      <c r="AA106" s="1513"/>
      <c r="AB106" s="285"/>
      <c r="AC106" s="587" t="s">
        <v>933</v>
      </c>
      <c r="AD106" s="607" t="s">
        <v>799</v>
      </c>
      <c r="AE106" s="66"/>
      <c r="AF106" s="66"/>
      <c r="AG106" s="66"/>
      <c r="AH106" s="66"/>
      <c r="AI106" s="608"/>
      <c r="AJ106" s="1849"/>
      <c r="AK106" s="1849"/>
      <c r="AL106" s="66"/>
      <c r="AM106" s="66"/>
      <c r="AN106" s="66"/>
      <c r="AO106" s="66"/>
      <c r="AP106" s="66"/>
      <c r="AQ106" s="66"/>
      <c r="AR106" s="66"/>
      <c r="AS106" s="608"/>
      <c r="AT106" s="1849"/>
      <c r="AU106" s="1849"/>
      <c r="AV106" s="66"/>
      <c r="AW106" s="66"/>
      <c r="AX106" s="66"/>
      <c r="AY106" s="66"/>
      <c r="AZ106" s="66"/>
      <c r="BA106" s="66"/>
      <c r="BB106" s="66"/>
      <c r="BC106" s="105"/>
      <c r="BD106" s="220"/>
      <c r="BE106" s="220"/>
      <c r="BF106" s="1190" t="s">
        <v>941</v>
      </c>
      <c r="BG106" s="1190" t="s">
        <v>947</v>
      </c>
      <c r="BH106" s="1190" cm="1" t="str">
        <f t="array" ref="BH106:BH106">BH105</f>
        <v>0</v>
      </c>
      <c r="BI106" s="1191"/>
      <c r="BJ106" s="1191"/>
    </row>
    <row s="220" customFormat="1" customHeight="1" ht="14.25" hidden="1">
      <c r="B107" s="220"/>
      <c r="C107" s="220"/>
      <c r="D107" s="220"/>
      <c r="E107" s="922">
        <v>15</v>
      </c>
      <c r="F107" s="920" cm="1" t="str">
        <f t="array" ref="F107:F107">OFFSET(G107,-1,-1)</f>
        <v>1</v>
      </c>
      <c r="G107" s="220"/>
      <c r="H107" s="220" cm="1" t="str">
        <f t="array" ref="H107:H107">H105</f>
        <v>0</v>
      </c>
      <c r="I107" s="220"/>
      <c r="J107" s="220"/>
      <c r="K107" s="220"/>
      <c r="L107" s="220"/>
      <c r="M107" s="220"/>
      <c r="N107" s="220"/>
      <c r="O107" s="220"/>
      <c r="P107" s="220"/>
      <c r="Q107" s="220"/>
      <c r="R107" s="220"/>
      <c r="S107" s="220"/>
      <c r="T107" s="943" cm="1" t="str">
        <f t="array" ref="T107:T107">T105</f>
        <v>false</v>
      </c>
      <c r="U107" s="220"/>
      <c r="V107" s="220"/>
      <c r="W107" s="220"/>
      <c r="X107" s="220"/>
      <c r="Y107" s="220"/>
      <c r="Z107" s="220"/>
      <c r="AA107" s="1513"/>
      <c r="AB107" s="512" t="str">
        <f>AB105&amp;".1"</f>
        <v>2.3.0.1</v>
      </c>
      <c r="AC107" s="587" t="s">
        <v>910</v>
      </c>
      <c r="AD107" s="1515" t="s">
        <v>937</v>
      </c>
      <c r="AE107" s="1857"/>
      <c r="AF107" s="588">
        <f>IF(AF109=0,0,AF108/AF109*1000)</f>
        <v>0</v>
      </c>
      <c r="AG107" s="588">
        <f>IF(AG109=0,0,AG108/AG109*1000)</f>
        <v>0</v>
      </c>
      <c r="AH107" s="1857"/>
      <c r="AI107" s="588">
        <f>IF(AI109=0,0,AI108/AI109*1000)</f>
        <v>0</v>
      </c>
      <c r="AJ107" s="1858">
        <f>IF(AJ109=0,0,AJ108/AJ109*1000)</f>
        <v>0</v>
      </c>
      <c r="AK107" s="1858">
        <f>IF(AK109=0,0,AK108/AK109*1000)</f>
        <v>0</v>
      </c>
      <c r="AL107" s="588">
        <f>IF(AL109=0,0,AL108/AL109*1000)</f>
        <v>0</v>
      </c>
      <c r="AM107" s="588">
        <f>IF(AM109=0,0,AM108/AM109*1000)</f>
        <v>0</v>
      </c>
      <c r="AN107" s="588">
        <f>IF(AN109=0,0,AN108/AN109*1000)</f>
        <v>0</v>
      </c>
      <c r="AO107" s="588">
        <f>IF(AO109=0,0,AO108/AO109*1000)</f>
        <v>0</v>
      </c>
      <c r="AP107" s="588">
        <f>IF(AP109=0,0,AP108/AP109*1000)</f>
        <v>0</v>
      </c>
      <c r="AQ107" s="588">
        <f>IF(AQ109=0,0,AQ108/AQ109*1000)</f>
        <v>0</v>
      </c>
      <c r="AR107" s="588">
        <f>IF(AR109=0,0,AR108/AR109*1000)</f>
        <v>0</v>
      </c>
      <c r="AS107" s="1049"/>
      <c r="AT107" s="1666"/>
      <c r="AU107" s="1666"/>
      <c r="AV107" s="1857"/>
      <c r="AW107" s="1857"/>
      <c r="AX107" s="1857"/>
      <c r="AY107" s="1857"/>
      <c r="AZ107" s="1857"/>
      <c r="BA107" s="1857"/>
      <c r="BB107" s="1857"/>
      <c r="BC107" s="1847"/>
      <c r="BD107" s="220"/>
      <c r="BE107" s="220"/>
      <c r="BF107" s="1190" t="s">
        <v>942</v>
      </c>
      <c r="BG107" s="1190" t="s">
        <v>947</v>
      </c>
      <c r="BH107" s="1190" cm="1" t="str">
        <f t="array" ref="BH107:BH107">BH106</f>
        <v>0</v>
      </c>
      <c r="BI107" s="1191"/>
      <c r="BJ107" s="1191"/>
    </row>
    <row s="220" customFormat="1" customHeight="1" ht="14.25" hidden="1">
      <c r="A108" s="1123" t="str">
        <f>"checkCosts_5."&amp;F108&amp;"."&amp;Y105</f>
        <v>checkCosts_5.1.0</v>
      </c>
      <c r="B108" s="220"/>
      <c r="C108" s="220"/>
      <c r="D108" s="220"/>
      <c r="E108" s="922">
        <v>15</v>
      </c>
      <c r="F108" s="920" cm="1" t="str">
        <f t="array" ref="F108:F108">OFFSET(G108,-1,-1)</f>
        <v>1</v>
      </c>
      <c r="G108" s="220"/>
      <c r="H108" s="220"/>
      <c r="I108" s="220"/>
      <c r="J108" s="220"/>
      <c r="K108" s="220"/>
      <c r="L108" s="220"/>
      <c r="M108" s="220"/>
      <c r="N108" s="220"/>
      <c r="O108" s="220"/>
      <c r="P108" s="220"/>
      <c r="Q108" s="220"/>
      <c r="R108" s="220"/>
      <c r="S108" s="220"/>
      <c r="T108" s="921" cm="1" t="str">
        <f t="array" ref="T108:T108">T105</f>
        <v>false</v>
      </c>
      <c r="U108" s="220"/>
      <c r="V108" s="220"/>
      <c r="W108" s="220"/>
      <c r="X108" s="220"/>
      <c r="Y108" s="220"/>
      <c r="Z108" s="220"/>
      <c r="AA108" s="1513"/>
      <c r="AB108" s="285" t="str">
        <f>AB105&amp;".2"</f>
        <v>2.3.0.2</v>
      </c>
      <c r="AC108" s="587" t="s">
        <v>948</v>
      </c>
      <c r="AD108" s="151" t="s">
        <v>799</v>
      </c>
      <c r="AE108" s="65"/>
      <c r="AF108" s="65"/>
      <c r="AG108" s="65"/>
      <c r="AH108" s="65"/>
      <c r="AI108" s="583"/>
      <c r="AJ108" s="1666"/>
      <c r="AK108" s="1666"/>
      <c r="AL108" s="65"/>
      <c r="AM108" s="65"/>
      <c r="AN108" s="65"/>
      <c r="AO108" s="65"/>
      <c r="AP108" s="65"/>
      <c r="AQ108" s="65"/>
      <c r="AR108" s="65"/>
      <c r="AS108" s="583"/>
      <c r="AT108" s="1666"/>
      <c r="AU108" s="1666"/>
      <c r="AV108" s="65"/>
      <c r="AW108" s="65"/>
      <c r="AX108" s="65"/>
      <c r="AY108" s="65"/>
      <c r="AZ108" s="65"/>
      <c r="BA108" s="65"/>
      <c r="BB108" s="65"/>
      <c r="BC108" s="74"/>
      <c r="BD108" s="220"/>
      <c r="BE108" s="220"/>
      <c r="BF108" s="1190" t="s">
        <v>949</v>
      </c>
      <c r="BG108" s="1190" t="s">
        <v>947</v>
      </c>
      <c r="BH108" s="1190" cm="1" t="str">
        <f t="array" ref="BH108:BH108">BH106</f>
        <v>0</v>
      </c>
      <c r="BI108" s="1191"/>
      <c r="BJ108" s="1191"/>
    </row>
    <row s="220" customFormat="1" customHeight="1" ht="14.25" hidden="1">
      <c r="A109" s="1123" t="str">
        <f>"checkVolume_5."&amp;F109&amp;"."&amp;Y105</f>
        <v>checkVolume_5.1.0</v>
      </c>
      <c r="B109" s="220"/>
      <c r="C109" s="220"/>
      <c r="D109" s="220"/>
      <c r="E109" s="922">
        <v>15</v>
      </c>
      <c r="F109" s="920" cm="1" t="str">
        <f t="array" ref="F109:F109">OFFSET(G109,-1,-1)</f>
        <v>1</v>
      </c>
      <c r="G109" s="220"/>
      <c r="H109" s="220"/>
      <c r="I109" s="220"/>
      <c r="J109" s="220"/>
      <c r="K109" s="220"/>
      <c r="L109" s="220"/>
      <c r="M109" s="220"/>
      <c r="N109" s="220"/>
      <c r="O109" s="220"/>
      <c r="P109" s="220"/>
      <c r="Q109" s="220"/>
      <c r="R109" s="220"/>
      <c r="S109" s="220"/>
      <c r="T109" s="921" cm="1" t="str">
        <f t="array" ref="T109:T109">T108</f>
        <v>false</v>
      </c>
      <c r="U109" s="220"/>
      <c r="V109" s="220"/>
      <c r="W109" s="220"/>
      <c r="X109" s="220"/>
      <c r="Y109" s="220"/>
      <c r="Z109" s="220"/>
      <c r="AA109" s="1513"/>
      <c r="AB109" s="403" t="str">
        <f>AB108&amp;".1"</f>
        <v>2.3.0.2.1</v>
      </c>
      <c r="AC109" s="602" t="s">
        <v>943</v>
      </c>
      <c r="AD109" s="151" t="s">
        <v>586</v>
      </c>
      <c r="AE109" s="65"/>
      <c r="AF109" s="65"/>
      <c r="AG109" s="65"/>
      <c r="AH109" s="65"/>
      <c r="AI109" s="583"/>
      <c r="AJ109" s="1666"/>
      <c r="AK109" s="1666"/>
      <c r="AL109" s="65"/>
      <c r="AM109" s="65"/>
      <c r="AN109" s="65"/>
      <c r="AO109" s="65"/>
      <c r="AP109" s="65"/>
      <c r="AQ109" s="65"/>
      <c r="AR109" s="65"/>
      <c r="AS109" s="583"/>
      <c r="AT109" s="1666"/>
      <c r="AU109" s="1666"/>
      <c r="AV109" s="65"/>
      <c r="AW109" s="65"/>
      <c r="AX109" s="65"/>
      <c r="AY109" s="65"/>
      <c r="AZ109" s="65"/>
      <c r="BA109" s="65"/>
      <c r="BB109" s="65"/>
      <c r="BC109" s="74"/>
      <c r="BD109" s="220"/>
      <c r="BE109" s="220"/>
      <c r="BF109" s="1190" t="s">
        <v>950</v>
      </c>
      <c r="BG109" s="1190" t="s">
        <v>947</v>
      </c>
      <c r="BH109" s="1190" cm="1" t="str">
        <f t="array" ref="BH109:BH109">BH108</f>
        <v>0</v>
      </c>
      <c r="BI109" s="1191"/>
      <c r="BJ109" s="1191"/>
    </row>
    <row s="220" customFormat="1" customHeight="1" ht="14.25" hidden="1">
      <c r="A110" s="1123" t="str">
        <f>"checkCosts_6."&amp;F110&amp;"."&amp;Y105</f>
        <v>checkCosts_6.1.0</v>
      </c>
      <c r="B110" s="220"/>
      <c r="C110" s="220"/>
      <c r="D110" s="220"/>
      <c r="E110" s="922">
        <v>15</v>
      </c>
      <c r="F110" s="920" cm="1" t="str">
        <f t="array" ref="F110:F110">OFFSET(G110,-1,-1)</f>
        <v>1</v>
      </c>
      <c r="G110" s="220"/>
      <c r="H110" s="220"/>
      <c r="I110" s="220"/>
      <c r="J110" s="220"/>
      <c r="K110" s="220"/>
      <c r="L110" s="220"/>
      <c r="M110" s="220"/>
      <c r="N110" s="220"/>
      <c r="O110" s="220"/>
      <c r="P110" s="220"/>
      <c r="Q110" s="220"/>
      <c r="R110" s="220"/>
      <c r="S110" s="220"/>
      <c r="T110" s="921" cm="1" t="str">
        <f t="array" ref="T110:T110">T109</f>
        <v>false</v>
      </c>
      <c r="U110" s="220"/>
      <c r="V110" s="220"/>
      <c r="W110" s="220"/>
      <c r="X110" s="220"/>
      <c r="Y110" s="220"/>
      <c r="Z110" s="220"/>
      <c r="AA110" s="1513"/>
      <c r="AB110" s="285" t="str">
        <f>AB105&amp;".3"</f>
        <v>2.3.0.3</v>
      </c>
      <c r="AC110" s="587" t="s">
        <v>951</v>
      </c>
      <c r="AD110" s="151" t="s">
        <v>921</v>
      </c>
      <c r="AE110" s="65"/>
      <c r="AF110" s="65"/>
      <c r="AG110" s="65"/>
      <c r="AH110" s="65"/>
      <c r="AI110" s="583"/>
      <c r="AJ110" s="1666"/>
      <c r="AK110" s="1666"/>
      <c r="AL110" s="65"/>
      <c r="AM110" s="65"/>
      <c r="AN110" s="65"/>
      <c r="AO110" s="65"/>
      <c r="AP110" s="65"/>
      <c r="AQ110" s="65"/>
      <c r="AR110" s="65"/>
      <c r="AS110" s="583"/>
      <c r="AT110" s="1666"/>
      <c r="AU110" s="1666"/>
      <c r="AV110" s="65"/>
      <c r="AW110" s="65"/>
      <c r="AX110" s="65"/>
      <c r="AY110" s="65"/>
      <c r="AZ110" s="65"/>
      <c r="BA110" s="65"/>
      <c r="BB110" s="65"/>
      <c r="BC110" s="74"/>
      <c r="BD110" s="220"/>
      <c r="BE110" s="220"/>
      <c r="BF110" s="1190" t="s">
        <v>952</v>
      </c>
      <c r="BG110" s="1190" t="s">
        <v>947</v>
      </c>
      <c r="BH110" s="1190" cm="1" t="str">
        <f t="array" ref="BH110:BH110">BH109</f>
        <v>0</v>
      </c>
      <c r="BI110" s="1191"/>
      <c r="BJ110" s="1191"/>
    </row>
    <row s="220" customFormat="1" customHeight="1" ht="14.25" hidden="1">
      <c r="A111" s="1123" t="str">
        <f>"checkVolume_6."&amp;F111&amp;"."&amp;Y105</f>
        <v>checkVolume_6.1.0</v>
      </c>
      <c r="B111" s="220"/>
      <c r="C111" s="220"/>
      <c r="D111" s="220"/>
      <c r="E111" s="922">
        <v>15</v>
      </c>
      <c r="F111" s="920" cm="1" t="str">
        <f t="array" ref="F111:F111">OFFSET(G111,-1,-1)</f>
        <v>1</v>
      </c>
      <c r="G111" s="220"/>
      <c r="H111" s="152" cm="1" t="str">
        <f t="array" ref="H111:H111">H105</f>
        <v>0</v>
      </c>
      <c r="I111" s="220"/>
      <c r="J111" s="220"/>
      <c r="K111" s="220"/>
      <c r="L111" s="220"/>
      <c r="M111" s="220"/>
      <c r="N111" s="220"/>
      <c r="O111" s="220"/>
      <c r="P111" s="220"/>
      <c r="Q111" s="220"/>
      <c r="R111" s="220"/>
      <c r="S111" s="220"/>
      <c r="T111" s="921" cm="1" t="str">
        <f t="array" ref="T111:T111">T110</f>
        <v>false</v>
      </c>
      <c r="U111" s="220"/>
      <c r="V111" s="220"/>
      <c r="W111" s="220"/>
      <c r="X111" s="220"/>
      <c r="Y111" s="220"/>
      <c r="Z111" s="220"/>
      <c r="AA111" s="1513"/>
      <c r="AB111" s="403" t="str">
        <f>AB110&amp;".1"</f>
        <v>2.3.0.3.1</v>
      </c>
      <c r="AC111" s="603" t="s">
        <v>953</v>
      </c>
      <c r="AD111" s="151" t="s">
        <v>684</v>
      </c>
      <c r="AE111" s="65"/>
      <c r="AF111" s="65"/>
      <c r="AG111" s="65"/>
      <c r="AH111" s="65"/>
      <c r="AI111" s="583"/>
      <c r="AJ111" s="1666"/>
      <c r="AK111" s="1666"/>
      <c r="AL111" s="65"/>
      <c r="AM111" s="65"/>
      <c r="AN111" s="65"/>
      <c r="AO111" s="65"/>
      <c r="AP111" s="65"/>
      <c r="AQ111" s="65"/>
      <c r="AR111" s="65"/>
      <c r="AS111" s="583"/>
      <c r="AT111" s="1666"/>
      <c r="AU111" s="1666"/>
      <c r="AV111" s="65"/>
      <c r="AW111" s="65"/>
      <c r="AX111" s="65"/>
      <c r="AY111" s="65"/>
      <c r="AZ111" s="65"/>
      <c r="BA111" s="65"/>
      <c r="BB111" s="65"/>
      <c r="BC111" s="74"/>
      <c r="BD111" s="220"/>
      <c r="BE111" s="220"/>
      <c r="BF111" s="1190" t="s">
        <v>954</v>
      </c>
      <c r="BG111" s="1190" t="s">
        <v>947</v>
      </c>
      <c r="BH111" s="1190" cm="1" t="str">
        <f t="array" ref="BH111:BH111">BH110</f>
        <v>0</v>
      </c>
      <c r="BI111" s="1191"/>
      <c r="BJ111" s="1191"/>
    </row>
    <row s="220" customFormat="1" customHeight="1" ht="10.5">
      <c r="A112" s="220"/>
      <c r="B112" s="220"/>
      <c r="C112" s="220"/>
      <c r="D112" s="220"/>
      <c r="E112" s="922">
        <v>11.4</v>
      </c>
      <c r="F112" s="920" cm="1" t="str">
        <f t="array" ref="F112:F112">OFFSET(G112,-1,-1)</f>
        <v>1</v>
      </c>
      <c r="G112" s="220"/>
      <c r="H112" s="220"/>
      <c r="I112" s="220"/>
      <c r="J112" s="220"/>
      <c r="K112" s="220"/>
      <c r="L112" s="220"/>
      <c r="M112" s="220"/>
      <c r="N112" s="220"/>
      <c r="O112" s="220"/>
      <c r="P112" s="220"/>
      <c r="Q112" s="220"/>
      <c r="R112" s="220"/>
      <c r="S112" s="220"/>
      <c r="T112" s="921">
        <f>F112&gt;0</f>
        <v>1</v>
      </c>
      <c r="U112" s="220"/>
      <c r="V112" s="220"/>
      <c r="W112" s="371" t="s">
        <v>955</v>
      </c>
      <c r="X112" s="220"/>
      <c r="Y112" s="220"/>
      <c r="Z112" s="220"/>
      <c r="AA112" s="220"/>
      <c r="AB112" s="586"/>
      <c r="AC112" s="573" t="s">
        <v>946</v>
      </c>
      <c r="AD112" s="573"/>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1099"/>
      <c r="BD112" s="220"/>
      <c r="BE112" s="220"/>
      <c r="BF112" s="1190"/>
      <c r="BG112" s="1190"/>
      <c r="BH112" s="1190"/>
      <c r="BI112" s="1191" t="s">
        <v>947</v>
      </c>
      <c r="BJ112" s="1191"/>
    </row>
    <row s="963" customFormat="1" customHeight="1" ht="11.115">
      <c r="A113" s="400"/>
      <c r="B113" s="785"/>
      <c r="C113" s="176"/>
      <c r="D113" s="176"/>
      <c r="E113" s="923">
        <v>11.4</v>
      </c>
      <c r="F113" s="920"/>
      <c r="Q113" s="736"/>
      <c r="R113" s="736"/>
      <c r="T113" s="176"/>
      <c r="U113" s="176" t="s">
        <v>237</v>
      </c>
      <c r="V113" s="168" t="s">
        <v>957</v>
      </c>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8"/>
      <c r="BG113" s="1178"/>
      <c r="BH113" s="1178"/>
      <c r="BI113" s="1187"/>
      <c r="BJ113" s="1187"/>
    </row>
    <row s="963" customFormat="1" customHeight="1" ht="11.25" hidden="1">
      <c r="A114" s="400"/>
      <c r="B114" s="785"/>
      <c r="C114" s="176"/>
      <c r="D114" s="176"/>
      <c r="E114" s="923">
        <v>0</v>
      </c>
      <c r="F114" s="176"/>
      <c r="Q114" s="736"/>
      <c r="R114" s="736"/>
      <c r="T114" s="176"/>
      <c r="U114" s="176"/>
      <c r="V114" s="168"/>
      <c r="W114" s="176"/>
      <c r="X114" s="176"/>
      <c r="Y114" s="176"/>
      <c r="Z114" s="176"/>
      <c r="AB114" s="210"/>
      <c r="AC114" s="210"/>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F114" s="1178"/>
      <c r="BG114" s="1178"/>
      <c r="BH114" s="1178"/>
      <c r="BI114" s="1187"/>
      <c r="BJ114" s="1187"/>
    </row>
    <row customHeight="1" ht="14.625">
      <c r="E115" s="794">
        <v>15</v>
      </c>
      <c r="AB115" s="1507" t="s">
        <v>694</v>
      </c>
      <c r="AC115" s="1507"/>
      <c r="AD115" s="1507"/>
      <c r="AE115" s="1507"/>
      <c r="AF115" s="1507"/>
      <c r="AG115" s="1507"/>
      <c r="AH115" s="1507"/>
      <c r="AI115" s="1508"/>
      <c r="AJ115" s="1508"/>
      <c r="AK115" s="1508"/>
      <c r="AL115" s="1508"/>
      <c r="AM115" s="1508"/>
      <c r="AN115" s="1508"/>
      <c r="AO115" s="1508"/>
      <c r="AP115" s="1508"/>
      <c r="AQ115" s="1508"/>
      <c r="AR115" s="1508"/>
      <c r="AS115" s="1508"/>
      <c r="AT115" s="1508"/>
      <c r="AU115" s="1508"/>
      <c r="AV115" s="1508"/>
      <c r="AW115" s="1508"/>
      <c r="AX115" s="1508"/>
      <c r="AY115" s="1508"/>
      <c r="AZ115" s="1508"/>
      <c r="BA115" s="1508"/>
      <c r="BB115" s="1508"/>
      <c r="BC115" s="1508"/>
    </row>
    <row customHeight="1" ht="14.625">
      <c r="E116" s="794">
        <v>15</v>
      </c>
      <c r="AA116" s="919"/>
      <c r="AB116" s="1509"/>
      <c r="AC116" s="1509"/>
      <c r="AD116" s="1509"/>
      <c r="AE116" s="1509"/>
      <c r="AF116" s="1509"/>
      <c r="AG116" s="1509"/>
      <c r="AH116" s="1509"/>
      <c r="AI116" s="1510"/>
      <c r="AJ116" s="1870"/>
      <c r="AK116" s="1870"/>
      <c r="AL116" s="1870"/>
      <c r="AM116" s="1870"/>
      <c r="AN116" s="1870"/>
      <c r="AO116" s="1870"/>
      <c r="AP116" s="1870"/>
      <c r="AQ116" s="1870"/>
      <c r="AR116" s="1870"/>
      <c r="AS116" s="1510"/>
      <c r="AT116" s="1870"/>
      <c r="AU116" s="1870"/>
      <c r="AV116" s="1870"/>
      <c r="AW116" s="1870"/>
      <c r="AX116" s="1870"/>
      <c r="AY116" s="1870"/>
      <c r="AZ116" s="1870"/>
      <c r="BA116" s="1870"/>
      <c r="BB116" s="1870"/>
      <c r="BC116" s="1510"/>
    </row>
    <row customHeight="1" ht="14.625" hidden="1">
      <c r="A117" s="1184"/>
      <c r="B117" s="925"/>
      <c r="C117" s="1437"/>
      <c r="D117" s="1437"/>
      <c r="E117" s="794">
        <v>15</v>
      </c>
      <c r="F117" s="1437"/>
      <c r="G117" s="497"/>
      <c r="H117" s="497"/>
      <c r="I117" s="497"/>
      <c r="J117" s="497"/>
      <c r="K117" s="497"/>
      <c r="L117" s="497"/>
      <c r="M117" s="497"/>
      <c r="N117" s="497"/>
      <c r="O117" s="497"/>
      <c r="P117" s="497"/>
      <c r="Q117" s="926"/>
      <c r="R117" s="926"/>
      <c r="S117" s="497"/>
      <c r="T117" s="805">
        <f>ROW(W117)&gt;ROW(W$117)</f>
        <v>0</v>
      </c>
      <c r="U117" s="1437"/>
      <c r="V117" s="1437"/>
      <c r="W117" s="172" t="s">
        <v>235</v>
      </c>
      <c r="X117" s="1437"/>
      <c r="Y117" s="1437"/>
      <c r="Z117" s="1437"/>
      <c r="AA117" s="915" t="s">
        <v>219</v>
      </c>
      <c r="AB117" s="1871"/>
      <c r="AC117" s="1871"/>
      <c r="AD117" s="1871"/>
      <c r="AE117" s="1871"/>
      <c r="AF117" s="1871"/>
      <c r="AG117" s="1871"/>
      <c r="AH117" s="1871"/>
      <c r="AI117" s="1510"/>
      <c r="AJ117" s="1870"/>
      <c r="AK117" s="1870"/>
      <c r="AL117" s="1870"/>
      <c r="AM117" s="1870"/>
      <c r="AN117" s="1870"/>
      <c r="AO117" s="1870"/>
      <c r="AP117" s="1870"/>
      <c r="AQ117" s="1870"/>
      <c r="AR117" s="1870"/>
      <c r="AS117" s="1510"/>
      <c r="AT117" s="1870"/>
      <c r="AU117" s="1870"/>
      <c r="AV117" s="1870"/>
      <c r="AW117" s="1870"/>
      <c r="AX117" s="1870"/>
      <c r="AY117" s="1870"/>
      <c r="AZ117" s="1870"/>
      <c r="BA117" s="1870"/>
      <c r="BB117" s="1870"/>
      <c r="BC117" s="1870"/>
      <c r="BD117" s="497"/>
      <c r="BE117" s="497"/>
      <c r="BF117" s="1217"/>
      <c r="BG117" s="1217"/>
      <c r="BH117" s="1217"/>
      <c r="BI117" s="1228"/>
      <c r="BJ117" s="1228"/>
    </row>
    <row customHeight="1" ht="14.625">
      <c r="E118" s="794">
        <v>15</v>
      </c>
      <c r="W118" s="168" t="s">
        <v>958</v>
      </c>
      <c r="AB118" s="984" t="s">
        <v>695</v>
      </c>
      <c r="AC118" s="985"/>
      <c r="AD118" s="380"/>
      <c r="AE118" s="380"/>
      <c r="AF118" s="381"/>
      <c r="AG118" s="381"/>
      <c r="AH118" s="381"/>
      <c r="AI118" s="381"/>
      <c r="AJ118" s="381"/>
      <c r="AK118" s="381"/>
      <c r="AL118" s="381"/>
      <c r="AM118" s="381"/>
      <c r="AN118" s="381"/>
      <c r="AO118" s="381"/>
      <c r="AP118" s="381"/>
      <c r="AQ118" s="381"/>
      <c r="AR118" s="381"/>
      <c r="AS118" s="381"/>
      <c r="AT118" s="381"/>
      <c r="AU118" s="381"/>
      <c r="AV118" s="381"/>
      <c r="AW118" s="381"/>
      <c r="AX118" s="381"/>
      <c r="AY118" s="381"/>
      <c r="AZ118" s="381"/>
      <c r="BA118" s="381"/>
      <c r="BB118" s="381"/>
      <c r="BC118" s="382"/>
    </row>
    <row customHeight="1" ht="11.25">
      <c r="AI119" s="497"/>
      <c r="AJ119" s="497"/>
      <c r="AK119" s="497"/>
      <c r="AL119" s="497"/>
      <c r="AM119" s="497"/>
      <c r="AN119" s="497"/>
      <c r="AO119" s="497"/>
      <c r="AP119" s="497"/>
      <c r="AQ119" s="497"/>
      <c r="AR119" s="497"/>
      <c r="AS119" s="497"/>
      <c r="AT119" s="497"/>
      <c r="AU119" s="497"/>
      <c r="AV119" s="497"/>
      <c r="AW119" s="497"/>
      <c r="AX119" s="497"/>
      <c r="AY119" s="497"/>
      <c r="AZ119" s="497"/>
      <c r="BA119" s="497"/>
      <c r="BB119" s="497"/>
      <c r="BD119" s="210"/>
    </row>
  </sheetData>
  <sheetProtection formatColumns="0" formatRows="0" autoFilter="0" sort="0" insertRows="0" insertColumns="1" deleteRows="0" deleteColumns="0"/>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4:BF96">
    <cfRule type="duplicateValues" dxfId="3" priority="6">
      <formula>AND(COUNTIF($BF$94:$BF$96,BF94)&gt;1,NOT(ISBLANK(BF94)))</formula>
    </cfRule>
  </conditionalFormatting>
  <conditionalFormatting sqref="BF105:BF107">
    <cfRule type="duplicateValues" dxfId="4" priority="5">
      <formula>AND(COUNTIF($BF$105:$BF$107,BF105)&gt;1,NOT(ISBLANK(BF105)))</formula>
    </cfRule>
  </conditionalFormatting>
  <conditionalFormatting sqref="BF108">
    <cfRule type="duplicateValues" dxfId="5" priority="4">
      <formula>AND(COUNTIF($BF$108:$BF$108,BF108)&gt;1,NOT(ISBLANK(BF108)))</formula>
    </cfRule>
  </conditionalFormatting>
  <conditionalFormatting sqref="BF98:BF100">
    <cfRule type="duplicateValues" dxfId="6" priority="3">
      <formula>AND(COUNTIF($BF$98:$BF$100,BF98)&gt;1,NOT(ISBLANK(BF98)))</formula>
    </cfRule>
  </conditionalFormatting>
  <conditionalFormatting sqref="BF107">
    <cfRule type="duplicateValues" dxfId="7" priority="2">
      <formula>AND(COUNTIF($BF$107:$BF$107,BF107)&gt;1,NOT(ISBLANK(BF107)))</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AE107 AF106:AF107 AG106:AG107 AH106:AH107 AI106:AI107 AJ106:AJ107 AK106:AK107 AL106:AL107 AM106:AM107 AN106:AN107 AO106:AO107 AP106:AP107 AQ106:AQ107 AR106:AR107 AS106:AS107 AT106:AT107 AU106:AU107 AV106:AV107 AW106:AW107 AX106:AX107 AY106:AY107 AZ106:AZ107 BA106:BA107 BB106: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9C155-EAA8-2AF8-A7DE-6CF2EA80396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7.8515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371</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182" t="s">
        <v>372</v>
      </c>
      <c r="BG1" s="1190" t="s">
        <v>373</v>
      </c>
      <c r="BH1" s="1190" t="s">
        <v>374</v>
      </c>
      <c r="BI1" s="1191" t="s">
        <v>377</v>
      </c>
      <c r="BJ1" s="1191" t="s">
        <v>378</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190"/>
      <c r="BG3" s="1190"/>
      <c r="BH3" s="1190"/>
      <c r="BI3" s="1191"/>
      <c r="BJ3" s="1191"/>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383</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F17" s="1190"/>
      <c r="BG17" s="1190"/>
      <c r="BH17" s="1190"/>
      <c r="BI17" s="1191"/>
      <c r="BJ17" s="1191"/>
    </row>
    <row s="1400" customFormat="1" customHeight="1" ht="12" hidden="1">
      <c r="A18" s="1018" t="s">
        <v>482</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190"/>
      <c r="BG18" s="1190"/>
      <c r="BH18" s="1190"/>
      <c r="BI18" s="1191"/>
      <c r="BJ18" s="1191"/>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190"/>
      <c r="BG19" s="1190"/>
      <c r="BH19" s="1190"/>
      <c r="BI19" s="1191"/>
      <c r="BJ19" s="1191"/>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190"/>
      <c r="BG20" s="1190"/>
      <c r="BH20" s="1190"/>
      <c r="BI20" s="1191"/>
      <c r="BJ20" s="1191"/>
    </row>
    <row customHeight="1" ht="14.625">
      <c r="E21" s="794">
        <v>15</v>
      </c>
      <c r="AA21" s="817"/>
      <c r="AC21" s="400" cm="1" t="str">
        <f t="array" ref="AC21:AC21">tpl_title</f>
        <v>Ульяновская область / 2026 / ООО "НИИАР-ГЕНЕРАЦИЯ" (ИНН:7329008990, КПП:732901001)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959</v>
      </c>
      <c r="AC24" s="1515" t="s">
        <v>226</v>
      </c>
      <c r="AD24" s="1507"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582</v>
      </c>
    </row>
    <row customHeight="1" ht="48.847500000000004">
      <c r="E25" s="794">
        <v>50.1</v>
      </c>
      <c r="AB25" s="1514"/>
      <c r="AC25" s="1514"/>
      <c r="AD25" s="1514"/>
      <c r="AE25" s="167" t="s">
        <v>401</v>
      </c>
      <c r="AF25" s="1354" t="s">
        <v>583</v>
      </c>
      <c r="AG25" s="167" t="s">
        <v>584</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311</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960</v>
      </c>
      <c r="T28" s="816" cm="1" t="str">
        <f t="array" ref="T28:T28">T27</f>
        <v>false</v>
      </c>
      <c r="AB28" s="283">
        <v>1</v>
      </c>
      <c r="AC28" s="278" t="s">
        <v>961</v>
      </c>
      <c r="AD28" s="277" t="s">
        <v>799</v>
      </c>
      <c r="AE28" s="279">
        <f>SUMIF($AD29:$AD33,$AD28,AE29:AE33)</f>
        <v>0</v>
      </c>
      <c r="AF28" s="279">
        <f>SUMIF($AD29:$AD33,$AD28,AF29:AF33)</f>
        <v>0</v>
      </c>
      <c r="AG28" s="279">
        <f>SUMIF($AD29:$AD33,$AD28,AG29:AG33)</f>
        <v>0</v>
      </c>
      <c r="AH28" s="279">
        <f>SUMIF($AD29:$AD33,$AD28,AH29:AH33)</f>
        <v>0</v>
      </c>
      <c r="AI28" s="279">
        <f>SUMIF($AD29:$AD33,$AD28,AI29:AI33)</f>
        <v>0</v>
      </c>
      <c r="AJ28" s="1848">
        <f>SUMIF($AD29:$AD33,$AD28,AJ29:AJ33)</f>
        <v>0</v>
      </c>
      <c r="AK28" s="1848">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8">
        <f>SUMIF($AD29:$AD33,$AD28,AT29:AT33)</f>
        <v>0</v>
      </c>
      <c r="AU28" s="1848">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962</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235</v>
      </c>
      <c r="Y30" s="156">
        <v>0</v>
      </c>
      <c r="AA30" s="1513" t="s">
        <v>219</v>
      </c>
      <c r="AB30" s="285" t="str">
        <f>"1."&amp;Y30</f>
        <v>1.0</v>
      </c>
      <c r="AC30" s="460"/>
      <c r="AD30" s="277" t="s">
        <v>799</v>
      </c>
      <c r="AE30" s="1852">
        <f>AE31*AE32</f>
        <v>0</v>
      </c>
      <c r="AF30" s="62"/>
      <c r="AG30" s="62"/>
      <c r="AH30" s="1852">
        <f>AH31*AH32</f>
        <v>0</v>
      </c>
      <c r="AI30" s="280"/>
      <c r="AJ30" s="1664"/>
      <c r="AK30" s="1664"/>
      <c r="AL30" s="62"/>
      <c r="AM30" s="62"/>
      <c r="AN30" s="62"/>
      <c r="AO30" s="62"/>
      <c r="AP30" s="62"/>
      <c r="AQ30" s="62"/>
      <c r="AR30" s="62"/>
      <c r="AS30" s="1853">
        <f>AS31*AS32</f>
        <v>0</v>
      </c>
      <c r="AT30" s="1853">
        <f>AT31*AT32</f>
        <v>0</v>
      </c>
      <c r="AU30" s="1853">
        <f>AU31*AU32</f>
        <v>0</v>
      </c>
      <c r="AV30" s="1852">
        <f>AV31*AV32</f>
        <v>0</v>
      </c>
      <c r="AW30" s="1852">
        <f>AW31*AW32</f>
        <v>0</v>
      </c>
      <c r="AX30" s="1852">
        <f>AX31*AX32</f>
        <v>0</v>
      </c>
      <c r="AY30" s="1852">
        <f>AY31*AY32</f>
        <v>0</v>
      </c>
      <c r="AZ30" s="1852">
        <f>AZ31*AZ32</f>
        <v>0</v>
      </c>
      <c r="BA30" s="1852">
        <f>BA31*BA32</f>
        <v>0</v>
      </c>
      <c r="BB30" s="1852">
        <f>BB31*BB32</f>
        <v>0</v>
      </c>
      <c r="BC30" s="74"/>
      <c r="BF30" s="1171" t="s">
        <v>963</v>
      </c>
      <c r="BG30" s="1190" t="s">
        <v>964</v>
      </c>
      <c r="BH30" s="1190" cm="1" t="str">
        <f t="array" ref="BH30:BH30">AC30</f>
        <v>0</v>
      </c>
      <c r="BJ30" s="1191" t="b">
        <v>1</v>
      </c>
    </row>
    <row s="1642" customFormat="1" customHeight="1" ht="14.25" hidden="1">
      <c r="B31" s="925"/>
      <c r="C31" s="1400"/>
      <c r="D31" s="1400"/>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98"/>
      <c r="V31" s="1498"/>
      <c r="W31" s="1498"/>
      <c r="X31" s="1498"/>
      <c r="Y31" s="1498"/>
      <c r="Z31" s="1498"/>
      <c r="AA31" s="1513"/>
      <c r="AB31" s="512" t="str">
        <f>AB30&amp;".1"</f>
        <v>1.0.1</v>
      </c>
      <c r="AC31" s="489" t="s">
        <v>910</v>
      </c>
      <c r="AD31" s="1515" t="s">
        <v>965</v>
      </c>
      <c r="AE31" s="1876"/>
      <c r="AF31" s="701">
        <f>IF(AF32=0,0,AF30/AF32)</f>
        <v>0</v>
      </c>
      <c r="AG31" s="701">
        <f>IF(AG32=0,0,AG30/AG32)</f>
        <v>0</v>
      </c>
      <c r="AH31" s="1876"/>
      <c r="AI31" s="701">
        <f>IF(AI32=0,0,AI30/AI32)</f>
        <v>0</v>
      </c>
      <c r="AJ31" s="1853">
        <f>IF(AJ32=0,0,AJ30/AJ32)</f>
        <v>0</v>
      </c>
      <c r="AK31" s="1853">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64"/>
      <c r="AU31" s="1664"/>
      <c r="AV31" s="1876"/>
      <c r="AW31" s="1876"/>
      <c r="AX31" s="1876"/>
      <c r="AY31" s="1876"/>
      <c r="AZ31" s="1876"/>
      <c r="BA31" s="1876"/>
      <c r="BB31" s="1876"/>
      <c r="BC31" s="1847"/>
      <c r="BD31" s="220"/>
      <c r="BE31" s="220"/>
      <c r="BF31" s="1178" t="s">
        <v>966</v>
      </c>
      <c r="BG31" s="1190" t="s">
        <v>964</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967</v>
      </c>
      <c r="AD32" s="151" t="s">
        <v>968</v>
      </c>
      <c r="AE32" s="62"/>
      <c r="AF32" s="62"/>
      <c r="AG32" s="62"/>
      <c r="AH32" s="62"/>
      <c r="AI32" s="280"/>
      <c r="AJ32" s="1664"/>
      <c r="AK32" s="1664"/>
      <c r="AL32" s="62"/>
      <c r="AM32" s="62"/>
      <c r="AN32" s="62"/>
      <c r="AO32" s="62"/>
      <c r="AP32" s="62"/>
      <c r="AQ32" s="62"/>
      <c r="AR32" s="62"/>
      <c r="AS32" s="280"/>
      <c r="AT32" s="1664"/>
      <c r="AU32" s="1664"/>
      <c r="AV32" s="62"/>
      <c r="AW32" s="62"/>
      <c r="AX32" s="62"/>
      <c r="AY32" s="62"/>
      <c r="AZ32" s="62"/>
      <c r="BA32" s="62"/>
      <c r="BB32" s="62"/>
      <c r="BC32" s="74"/>
      <c r="BF32" s="1171" t="s">
        <v>969</v>
      </c>
      <c r="BG32" s="1190" t="s">
        <v>964</v>
      </c>
      <c r="BH32" s="1190" cm="1" t="str">
        <f t="array" ref="BH32:BH32">BH30</f>
        <v>0</v>
      </c>
    </row>
    <row customHeight="1" ht="14.625" hidden="1">
      <c r="E33" s="794">
        <v>15</v>
      </c>
      <c r="F33" s="920" cm="1" t="str">
        <f t="array" ref="F33:F33">F29</f>
        <v>0</v>
      </c>
      <c r="T33" s="816">
        <f>F33&gt;0</f>
        <v>0</v>
      </c>
      <c r="W33" s="371" t="s">
        <v>970</v>
      </c>
      <c r="AB33" s="299"/>
      <c r="AC33" s="300" t="s">
        <v>946</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964</v>
      </c>
    </row>
    <row customHeight="1" ht="14.625" hidden="1">
      <c r="E34" s="794">
        <v>15</v>
      </c>
      <c r="F34" s="920" cm="1" t="str">
        <f t="array" ref="F34:F34">F33</f>
        <v>0</v>
      </c>
      <c r="G34" s="190" t="s">
        <v>971</v>
      </c>
      <c r="T34" s="816">
        <f>F34&gt;0</f>
        <v>0</v>
      </c>
      <c r="AB34" s="283">
        <v>2</v>
      </c>
      <c r="AC34" s="278" t="s">
        <v>972</v>
      </c>
      <c r="AD34" s="277" t="s">
        <v>799</v>
      </c>
      <c r="AE34" s="279">
        <f>SUMIF($AD35:$AD39,$AD34,AE35:AE39)</f>
        <v>0</v>
      </c>
      <c r="AF34" s="279">
        <f>SUMIF($AD35:$AD39,$AD34,AF35:AF39)</f>
        <v>0</v>
      </c>
      <c r="AG34" s="279">
        <f>SUMIF($AD35:$AD39,$AD34,AG35:AG39)</f>
        <v>0</v>
      </c>
      <c r="AH34" s="279">
        <f>SUMIF($AD35:$AD39,$AD34,AH35:AH39)</f>
        <v>0</v>
      </c>
      <c r="AI34" s="279">
        <f>SUMIF($AD35:$AD39,$AD34,AI35:AI39)</f>
        <v>0</v>
      </c>
      <c r="AJ34" s="1848">
        <f>SUMIF($AD35:$AD39,$AD34,AJ35:AJ39)</f>
        <v>0</v>
      </c>
      <c r="AK34" s="1848">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8">
        <f>SUMIF($AD35:$AD39,$AD34,AT35:AT39)</f>
        <v>0</v>
      </c>
      <c r="AU34" s="1848">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973</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235</v>
      </c>
      <c r="Y36" s="156">
        <v>0</v>
      </c>
      <c r="AA36" s="1513" t="s">
        <v>219</v>
      </c>
      <c r="AB36" s="285" t="str">
        <f>"2."&amp;Y36</f>
        <v>2.0</v>
      </c>
      <c r="AC36" s="460"/>
      <c r="AD36" s="277" t="s">
        <v>799</v>
      </c>
      <c r="AE36" s="1852">
        <f>AE37*AE38</f>
        <v>0</v>
      </c>
      <c r="AF36" s="62"/>
      <c r="AG36" s="62"/>
      <c r="AH36" s="1852">
        <f>AH37*AH38</f>
        <v>0</v>
      </c>
      <c r="AI36" s="280"/>
      <c r="AJ36" s="1664"/>
      <c r="AK36" s="1664"/>
      <c r="AL36" s="62"/>
      <c r="AM36" s="62"/>
      <c r="AN36" s="62"/>
      <c r="AO36" s="62"/>
      <c r="AP36" s="62"/>
      <c r="AQ36" s="62"/>
      <c r="AR36" s="62"/>
      <c r="AS36" s="1853">
        <f>AS37*AS38</f>
        <v>0</v>
      </c>
      <c r="AT36" s="1853">
        <f>AT37*AT38</f>
        <v>0</v>
      </c>
      <c r="AU36" s="1853">
        <f>AU37*AU38</f>
        <v>0</v>
      </c>
      <c r="AV36" s="1852">
        <f>AV37*AV38</f>
        <v>0</v>
      </c>
      <c r="AW36" s="1852">
        <f>AW37*AW38</f>
        <v>0</v>
      </c>
      <c r="AX36" s="1852">
        <f>AX37*AX38</f>
        <v>0</v>
      </c>
      <c r="AY36" s="1852">
        <f>AY37*AY38</f>
        <v>0</v>
      </c>
      <c r="AZ36" s="1852">
        <f>AZ37*AZ38</f>
        <v>0</v>
      </c>
      <c r="BA36" s="1852">
        <f>BA37*BA38</f>
        <v>0</v>
      </c>
      <c r="BB36" s="1852">
        <f>BB37*BB38</f>
        <v>0</v>
      </c>
      <c r="BC36" s="74"/>
      <c r="BF36" s="1171" t="s">
        <v>974</v>
      </c>
      <c r="BG36" s="1190" t="s">
        <v>975</v>
      </c>
      <c r="BH36" s="1190" cm="1" t="str">
        <f t="array" ref="BH36:BH36">AC36</f>
        <v>0</v>
      </c>
      <c r="BJ36" s="1191" t="b">
        <v>1</v>
      </c>
    </row>
    <row s="1642" customFormat="1" customHeight="1" ht="14.25" hidden="1">
      <c r="B37" s="925"/>
      <c r="C37" s="1400"/>
      <c r="D37" s="1400"/>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98"/>
      <c r="V37" s="1498"/>
      <c r="W37" s="1498"/>
      <c r="X37" s="1498"/>
      <c r="Y37" s="1498"/>
      <c r="Z37" s="1498"/>
      <c r="AA37" s="1513"/>
      <c r="AB37" s="512" t="str">
        <f>AB36&amp;".1"</f>
        <v>2.0.1</v>
      </c>
      <c r="AC37" s="489" t="s">
        <v>910</v>
      </c>
      <c r="AD37" s="1515" t="s">
        <v>965</v>
      </c>
      <c r="AE37" s="1876"/>
      <c r="AF37" s="701">
        <f>IF(AF38=0,0,AF36/AF38)</f>
        <v>0</v>
      </c>
      <c r="AG37" s="701">
        <f>IF(AG38=0,0,AG36/AG38)</f>
        <v>0</v>
      </c>
      <c r="AH37" s="1876"/>
      <c r="AI37" s="701">
        <f>IF(AI38=0,0,AI36/AI38)</f>
        <v>0</v>
      </c>
      <c r="AJ37" s="1853">
        <f>IF(AJ38=0,0,AJ36/AJ38)</f>
        <v>0</v>
      </c>
      <c r="AK37" s="1853">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4"/>
      <c r="AU37" s="1664"/>
      <c r="AV37" s="1876"/>
      <c r="AW37" s="1876"/>
      <c r="AX37" s="1876"/>
      <c r="AY37" s="1876"/>
      <c r="AZ37" s="1876"/>
      <c r="BA37" s="1876"/>
      <c r="BB37" s="1876"/>
      <c r="BC37" s="1847"/>
      <c r="BD37" s="220"/>
      <c r="BE37" s="220"/>
      <c r="BF37" s="1178" t="s">
        <v>976</v>
      </c>
      <c r="BG37" s="1190" t="s">
        <v>975</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977</v>
      </c>
      <c r="AD38" s="151" t="s">
        <v>968</v>
      </c>
      <c r="AE38" s="62"/>
      <c r="AF38" s="62"/>
      <c r="AG38" s="62"/>
      <c r="AH38" s="62"/>
      <c r="AI38" s="280"/>
      <c r="AJ38" s="1664"/>
      <c r="AK38" s="1664"/>
      <c r="AL38" s="62"/>
      <c r="AM38" s="62"/>
      <c r="AN38" s="62"/>
      <c r="AO38" s="62"/>
      <c r="AP38" s="62"/>
      <c r="AQ38" s="62"/>
      <c r="AR38" s="62"/>
      <c r="AS38" s="280"/>
      <c r="AT38" s="1664"/>
      <c r="AU38" s="1664"/>
      <c r="AV38" s="62"/>
      <c r="AW38" s="62"/>
      <c r="AX38" s="62"/>
      <c r="AY38" s="62"/>
      <c r="AZ38" s="62"/>
      <c r="BA38" s="62"/>
      <c r="BB38" s="62"/>
      <c r="BC38" s="74"/>
      <c r="BF38" s="1171" t="s">
        <v>978</v>
      </c>
      <c r="BG38" s="1190" t="s">
        <v>975</v>
      </c>
      <c r="BH38" s="1190" cm="1" t="str">
        <f t="array" ref="BH38:BH38">BH36</f>
        <v>0</v>
      </c>
    </row>
    <row customHeight="1" ht="14.625" hidden="1">
      <c r="E39" s="794">
        <v>15</v>
      </c>
      <c r="F39" s="920" cm="1" t="str">
        <f t="array" ref="F39:F39">OFFSET(G39,-1,-1)</f>
        <v>0</v>
      </c>
      <c r="T39" s="816">
        <f>F39&gt;0</f>
        <v>0</v>
      </c>
      <c r="W39" s="371" t="s">
        <v>979</v>
      </c>
      <c r="AB39" s="299"/>
      <c r="AC39" s="300" t="s">
        <v>946</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975</v>
      </c>
    </row>
    <row s="1642" customFormat="1" customHeight="1" ht="14.25">
      <c r="A40" s="1400"/>
      <c r="B40" s="925"/>
      <c r="C40" s="1400"/>
      <c r="D40" s="1400"/>
      <c r="E40" s="794">
        <v>15</v>
      </c>
      <c r="F40" s="920" cm="1" t="str">
        <f t="array" ref="F40:F40">X40</f>
        <v>1</v>
      </c>
      <c r="G40" s="1512"/>
      <c r="H40" s="1512"/>
      <c r="I40" s="1512"/>
      <c r="J40" s="1512"/>
      <c r="K40" s="1512"/>
      <c r="L40" s="1512"/>
      <c r="M40" s="1512"/>
      <c r="N40" s="1512"/>
      <c r="O40" s="1512"/>
      <c r="P40" s="1512"/>
      <c r="Q40" s="190"/>
      <c r="R40" s="190"/>
      <c r="S40" s="1512"/>
      <c r="T40" s="805">
        <f>X40&gt;0</f>
        <v>1</v>
      </c>
      <c r="U40" s="1498"/>
      <c r="V40" s="172" cm="1" t="str">
        <f t="array" ref="V40:V40">ЭнергоРесурсы!$AB$68</f>
        <v>Тариф 1 (Теплоснабжение) - Тарифы на услуги по передаче тепловой энергии, теплоносителя (Не определено)</v>
      </c>
      <c r="W40" s="1498"/>
      <c r="X40" s="156" t="s">
        <v>337</v>
      </c>
      <c r="Y40" s="1498"/>
      <c r="Z40" s="1498"/>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0</v>
      </c>
      <c r="AI40" s="377">
        <f>AI41+AI47</f>
        <v>0</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0</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42" customFormat="1" customHeight="1" ht="14.25">
      <c r="A41" s="1400"/>
      <c r="B41" s="925"/>
      <c r="C41" s="1400"/>
      <c r="D41" s="1400"/>
      <c r="E41" s="794">
        <v>15</v>
      </c>
      <c r="F41" s="920" cm="1" t="str">
        <f t="array" ref="F41:F41">F40</f>
        <v>1</v>
      </c>
      <c r="G41" s="190" t="s">
        <v>960</v>
      </c>
      <c r="H41" s="1512"/>
      <c r="I41" s="1512"/>
      <c r="J41" s="1512"/>
      <c r="K41" s="1512"/>
      <c r="L41" s="1512"/>
      <c r="M41" s="1512"/>
      <c r="N41" s="1512"/>
      <c r="O41" s="1512"/>
      <c r="P41" s="1512"/>
      <c r="Q41" s="190"/>
      <c r="R41" s="190"/>
      <c r="S41" s="1512"/>
      <c r="T41" s="816" cm="1" t="str">
        <f t="array" ref="T41:T41">T40</f>
        <v>true</v>
      </c>
      <c r="U41" s="1498"/>
      <c r="V41" s="1498"/>
      <c r="W41" s="1498"/>
      <c r="X41" s="1498"/>
      <c r="Y41" s="1498"/>
      <c r="Z41" s="1498"/>
      <c r="AA41" s="220"/>
      <c r="AB41" s="283">
        <v>1</v>
      </c>
      <c r="AC41" s="278" t="s">
        <v>961</v>
      </c>
      <c r="AD41" s="277" t="s">
        <v>799</v>
      </c>
      <c r="AE41" s="279">
        <f>SUMIF($AD42:$AD46,$AD41,AE42:AE46)</f>
        <v>0</v>
      </c>
      <c r="AF41" s="279">
        <f>SUMIF($AD42:$AD46,$AD41,AF42:AF46)</f>
        <v>0</v>
      </c>
      <c r="AG41" s="279">
        <f>SUMIF($AD42:$AD46,$AD41,AG42:AG46)</f>
        <v>0</v>
      </c>
      <c r="AH41" s="279">
        <f>SUMIF($AD42:$AD46,$AD41,AH42:AH46)</f>
        <v>0</v>
      </c>
      <c r="AI41" s="279">
        <f>SUMIF($AD42:$AD46,$AD41,AI42:AI46)</f>
        <v>0</v>
      </c>
      <c r="AJ41" s="1848">
        <f>SUMIF($AD42:$AD46,$AD41,AJ42:AJ46)</f>
        <v>0</v>
      </c>
      <c r="AK41" s="1848">
        <f>SUMIF($AD42:$AD46,$AD41,AK42:AK46)</f>
        <v>0</v>
      </c>
      <c r="AL41" s="1863">
        <f>SUMIF($AD42:$AD46,$AD41,AL42:AL46)</f>
        <v>0</v>
      </c>
      <c r="AM41" s="1863">
        <f>SUMIF($AD42:$AD46,$AD41,AM42:AM46)</f>
        <v>0</v>
      </c>
      <c r="AN41" s="1863">
        <f>SUMIF($AD42:$AD46,$AD41,AN42:AN46)</f>
        <v>0</v>
      </c>
      <c r="AO41" s="1863">
        <f>SUMIF($AD42:$AD46,$AD41,AO42:AO46)</f>
        <v>0</v>
      </c>
      <c r="AP41" s="1863">
        <f>SUMIF($AD42:$AD46,$AD41,AP42:AP46)</f>
        <v>0</v>
      </c>
      <c r="AQ41" s="1863">
        <f>SUMIF($AD42:$AD46,$AD41,AQ42:AQ46)</f>
        <v>0</v>
      </c>
      <c r="AR41" s="1863">
        <f>SUMIF($AD42:$AD46,$AD41,AR42:AR46)</f>
        <v>0</v>
      </c>
      <c r="AS41" s="279">
        <f>SUMIF($AD42:$AD46,$AD41,AS42:AS46)</f>
        <v>0</v>
      </c>
      <c r="AT41" s="1848">
        <f>SUMIF($AD42:$AD46,$AD41,AT42:AT46)</f>
        <v>0</v>
      </c>
      <c r="AU41" s="1848">
        <f>SUMIF($AD42:$AD46,$AD41,AU42:AU46)</f>
        <v>0</v>
      </c>
      <c r="AV41" s="1863">
        <f>SUMIF($AD42:$AD46,$AD41,AV42:AV46)</f>
        <v>0</v>
      </c>
      <c r="AW41" s="1863">
        <f>SUMIF($AD42:$AD46,$AD41,AW42:AW46)</f>
        <v>0</v>
      </c>
      <c r="AX41" s="1863">
        <f>SUMIF($AD42:$AD46,$AD41,AX42:AX46)</f>
        <v>0</v>
      </c>
      <c r="AY41" s="1863">
        <f>SUMIF($AD42:$AD46,$AD41,AY42:AY46)</f>
        <v>0</v>
      </c>
      <c r="AZ41" s="1863">
        <f>SUMIF($AD42:$AD46,$AD41,AZ42:AZ46)</f>
        <v>0</v>
      </c>
      <c r="BA41" s="1863">
        <f>SUMIF($AD42:$AD46,$AD41,BA42:BA46)</f>
        <v>0</v>
      </c>
      <c r="BB41" s="1863">
        <f>SUMIF($AD42:$AD46,$AD41,BB42:BB46)</f>
        <v>0</v>
      </c>
      <c r="BC41" s="1792"/>
      <c r="BD41" s="220"/>
      <c r="BE41" s="220"/>
      <c r="BF41" s="1171" t="s">
        <v>962</v>
      </c>
      <c r="BG41" s="1190"/>
      <c r="BH41" s="1190"/>
      <c r="BI41" s="1191"/>
      <c r="BJ41" s="1191"/>
    </row>
    <row s="1642" customFormat="1" customHeight="1" ht="0">
      <c r="A42" s="1400"/>
      <c r="B42" s="925"/>
      <c r="C42" s="1400"/>
      <c r="D42" s="1400"/>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98"/>
      <c r="V42" s="1498"/>
      <c r="W42" s="1498"/>
      <c r="X42" s="1498"/>
      <c r="Y42" s="1498"/>
      <c r="Z42" s="1498"/>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42" customFormat="1" customHeight="1" ht="14.25" hidden="1">
      <c r="A43" s="1123" t="str">
        <f>"checkCosts_1."&amp;F43&amp;"."&amp;Y43</f>
        <v>checkCosts_1.1.0</v>
      </c>
      <c r="B43" s="925"/>
      <c r="C43" s="1400"/>
      <c r="D43" s="1400"/>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98"/>
      <c r="V43" s="1498"/>
      <c r="W43" s="156" t="s">
        <v>235</v>
      </c>
      <c r="X43" s="1498"/>
      <c r="Y43" s="156">
        <v>0</v>
      </c>
      <c r="Z43" s="1498"/>
      <c r="AA43" s="1513" t="s">
        <v>219</v>
      </c>
      <c r="AB43" s="285" t="str">
        <f>"1."&amp;Y43</f>
        <v>1.0</v>
      </c>
      <c r="AC43" s="460"/>
      <c r="AD43" s="277" t="s">
        <v>799</v>
      </c>
      <c r="AE43" s="1852">
        <f>AE44*AE45</f>
        <v>0</v>
      </c>
      <c r="AF43" s="62"/>
      <c r="AG43" s="62"/>
      <c r="AH43" s="1852">
        <f>AH44*AH45</f>
        <v>0</v>
      </c>
      <c r="AI43" s="280"/>
      <c r="AJ43" s="1664"/>
      <c r="AK43" s="1664"/>
      <c r="AL43" s="62"/>
      <c r="AM43" s="62"/>
      <c r="AN43" s="62"/>
      <c r="AO43" s="62"/>
      <c r="AP43" s="62"/>
      <c r="AQ43" s="62"/>
      <c r="AR43" s="62"/>
      <c r="AS43" s="1853">
        <f>AS44*AS45</f>
        <v>0</v>
      </c>
      <c r="AT43" s="1853">
        <f>AT44*AT45</f>
        <v>0</v>
      </c>
      <c r="AU43" s="1853">
        <f>AU44*AU45</f>
        <v>0</v>
      </c>
      <c r="AV43" s="1852">
        <f>AV44*AV45</f>
        <v>0</v>
      </c>
      <c r="AW43" s="1852">
        <f>AW44*AW45</f>
        <v>0</v>
      </c>
      <c r="AX43" s="1852">
        <f>AX44*AX45</f>
        <v>0</v>
      </c>
      <c r="AY43" s="1852">
        <f>AY44*AY45</f>
        <v>0</v>
      </c>
      <c r="AZ43" s="1852">
        <f>AZ44*AZ45</f>
        <v>0</v>
      </c>
      <c r="BA43" s="1852">
        <f>BA44*BA45</f>
        <v>0</v>
      </c>
      <c r="BB43" s="1852">
        <f>BB44*BB45</f>
        <v>0</v>
      </c>
      <c r="BC43" s="74"/>
      <c r="BD43" s="220"/>
      <c r="BE43" s="220"/>
      <c r="BF43" s="1171" t="s">
        <v>963</v>
      </c>
      <c r="BG43" s="1190" t="s">
        <v>964</v>
      </c>
      <c r="BH43" s="1190" cm="1" t="str">
        <f t="array" ref="BH43:BH43">AC43</f>
        <v>0</v>
      </c>
      <c r="BI43" s="1191"/>
      <c r="BJ43" s="1191" t="b">
        <v>1</v>
      </c>
    </row>
    <row s="1642" customFormat="1" customHeight="1" ht="14.25" hidden="1">
      <c r="B44" s="925"/>
      <c r="C44" s="1400"/>
      <c r="D44" s="1400"/>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98"/>
      <c r="V44" s="1498"/>
      <c r="W44" s="1498"/>
      <c r="X44" s="1498"/>
      <c r="Y44" s="1498"/>
      <c r="Z44" s="1498"/>
      <c r="AA44" s="1513"/>
      <c r="AB44" s="512" t="str">
        <f>AB43&amp;".1"</f>
        <v>1.0.1</v>
      </c>
      <c r="AC44" s="489" t="s">
        <v>910</v>
      </c>
      <c r="AD44" s="1515" t="s">
        <v>965</v>
      </c>
      <c r="AE44" s="1876"/>
      <c r="AF44" s="701">
        <f>IF(AF45=0,0,AF43/AF45)</f>
        <v>0</v>
      </c>
      <c r="AG44" s="701">
        <f>IF(AG45=0,0,AG43/AG45)</f>
        <v>0</v>
      </c>
      <c r="AH44" s="1876"/>
      <c r="AI44" s="701">
        <f>IF(AI45=0,0,AI43/AI45)</f>
        <v>0</v>
      </c>
      <c r="AJ44" s="1853">
        <f>IF(AJ45=0,0,AJ43/AJ45)</f>
        <v>0</v>
      </c>
      <c r="AK44" s="1853">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664"/>
      <c r="AU44" s="1664"/>
      <c r="AV44" s="1876"/>
      <c r="AW44" s="1876"/>
      <c r="AX44" s="1876"/>
      <c r="AY44" s="1876"/>
      <c r="AZ44" s="1876"/>
      <c r="BA44" s="1876"/>
      <c r="BB44" s="1876"/>
      <c r="BC44" s="1847"/>
      <c r="BD44" s="220"/>
      <c r="BE44" s="220"/>
      <c r="BF44" s="1178" t="s">
        <v>966</v>
      </c>
      <c r="BG44" s="1190" t="s">
        <v>964</v>
      </c>
      <c r="BH44" s="1190" cm="1" t="str">
        <f t="array" ref="BH44:BH44">BH43</f>
        <v>0</v>
      </c>
      <c r="BI44" s="1191"/>
      <c r="BJ44" s="1191"/>
    </row>
    <row s="1642" customFormat="1" customHeight="1" ht="14.25" hidden="1">
      <c r="A45" s="1123" t="str">
        <f>"checkVolume_1."&amp;F45&amp;"."&amp;Y43</f>
        <v>checkVolume_1.1.0</v>
      </c>
      <c r="B45" s="925"/>
      <c r="C45" s="1400"/>
      <c r="D45" s="1400"/>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98"/>
      <c r="V45" s="1498"/>
      <c r="W45" s="1498"/>
      <c r="X45" s="1498"/>
      <c r="Y45" s="1498"/>
      <c r="Z45" s="1498"/>
      <c r="AA45" s="1513"/>
      <c r="AB45" s="285" t="str">
        <f>AB43&amp;".2"</f>
        <v>1.0.2</v>
      </c>
      <c r="AC45" s="291" t="s">
        <v>967</v>
      </c>
      <c r="AD45" s="151" t="s">
        <v>968</v>
      </c>
      <c r="AE45" s="62"/>
      <c r="AF45" s="62"/>
      <c r="AG45" s="62"/>
      <c r="AH45" s="62"/>
      <c r="AI45" s="280"/>
      <c r="AJ45" s="1664"/>
      <c r="AK45" s="1664"/>
      <c r="AL45" s="62"/>
      <c r="AM45" s="62"/>
      <c r="AN45" s="62"/>
      <c r="AO45" s="62"/>
      <c r="AP45" s="62"/>
      <c r="AQ45" s="62"/>
      <c r="AR45" s="62"/>
      <c r="AS45" s="280"/>
      <c r="AT45" s="1664"/>
      <c r="AU45" s="1664"/>
      <c r="AV45" s="62"/>
      <c r="AW45" s="62"/>
      <c r="AX45" s="62"/>
      <c r="AY45" s="62"/>
      <c r="AZ45" s="62"/>
      <c r="BA45" s="62"/>
      <c r="BB45" s="62"/>
      <c r="BC45" s="74"/>
      <c r="BD45" s="220"/>
      <c r="BE45" s="220"/>
      <c r="BF45" s="1171" t="s">
        <v>969</v>
      </c>
      <c r="BG45" s="1190" t="s">
        <v>964</v>
      </c>
      <c r="BH45" s="1190" cm="1" t="str">
        <f t="array" ref="BH45:BH45">BH43</f>
        <v>0</v>
      </c>
      <c r="BI45" s="1191"/>
      <c r="BJ45" s="1191"/>
    </row>
    <row s="1642" customFormat="1" customHeight="1" ht="14.25">
      <c r="A46" s="1400"/>
      <c r="B46" s="925"/>
      <c r="C46" s="1400"/>
      <c r="D46" s="1400"/>
      <c r="E46" s="794">
        <v>15</v>
      </c>
      <c r="F46" s="920" cm="1" t="str">
        <f t="array" ref="F46:F46">F42</f>
        <v>1</v>
      </c>
      <c r="G46" s="1512"/>
      <c r="H46" s="1512"/>
      <c r="I46" s="1512"/>
      <c r="J46" s="1512"/>
      <c r="K46" s="1512"/>
      <c r="L46" s="1512"/>
      <c r="M46" s="1512"/>
      <c r="N46" s="1512"/>
      <c r="O46" s="1512"/>
      <c r="P46" s="1512"/>
      <c r="Q46" s="190"/>
      <c r="R46" s="190"/>
      <c r="S46" s="1512"/>
      <c r="T46" s="816">
        <f>F46&gt;0</f>
        <v>1</v>
      </c>
      <c r="U46" s="1498"/>
      <c r="V46" s="1498"/>
      <c r="W46" s="371" t="s">
        <v>970</v>
      </c>
      <c r="X46" s="1498"/>
      <c r="Y46" s="1498"/>
      <c r="Z46" s="1498"/>
      <c r="AA46" s="220"/>
      <c r="AB46" s="299"/>
      <c r="AC46" s="300" t="s">
        <v>946</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964</v>
      </c>
      <c r="BJ46" s="1191"/>
    </row>
    <row s="1642" customFormat="1" customHeight="1" ht="14.25">
      <c r="A47" s="1400"/>
      <c r="B47" s="925"/>
      <c r="C47" s="1400"/>
      <c r="D47" s="1400"/>
      <c r="E47" s="794">
        <v>15</v>
      </c>
      <c r="F47" s="920" cm="1" t="str">
        <f t="array" ref="F47:F47">F46</f>
        <v>1</v>
      </c>
      <c r="G47" s="190" t="s">
        <v>971</v>
      </c>
      <c r="H47" s="1512"/>
      <c r="I47" s="1512"/>
      <c r="J47" s="1512"/>
      <c r="K47" s="1512"/>
      <c r="L47" s="1512"/>
      <c r="M47" s="1512"/>
      <c r="N47" s="1512"/>
      <c r="O47" s="1512"/>
      <c r="P47" s="1512"/>
      <c r="Q47" s="190"/>
      <c r="R47" s="190"/>
      <c r="S47" s="1512"/>
      <c r="T47" s="816">
        <f>F47&gt;0</f>
        <v>1</v>
      </c>
      <c r="U47" s="1498"/>
      <c r="V47" s="1498"/>
      <c r="W47" s="1498"/>
      <c r="X47" s="1498"/>
      <c r="Y47" s="1498"/>
      <c r="Z47" s="1498"/>
      <c r="AA47" s="220"/>
      <c r="AB47" s="283">
        <v>2</v>
      </c>
      <c r="AC47" s="278" t="s">
        <v>972</v>
      </c>
      <c r="AD47" s="277" t="s">
        <v>799</v>
      </c>
      <c r="AE47" s="279">
        <f>SUMIF($AD48:$AD52,$AD47,AE48:AE52)</f>
        <v>0</v>
      </c>
      <c r="AF47" s="279">
        <f>SUMIF($AD48:$AD52,$AD47,AF48:AF52)</f>
        <v>0</v>
      </c>
      <c r="AG47" s="279">
        <f>SUMIF($AD48:$AD52,$AD47,AG48:AG52)</f>
        <v>0</v>
      </c>
      <c r="AH47" s="279">
        <f>SUMIF($AD48:$AD52,$AD47,AH48:AH52)</f>
        <v>0</v>
      </c>
      <c r="AI47" s="279">
        <f>SUMIF($AD48:$AD52,$AD47,AI48:AI52)</f>
        <v>0</v>
      </c>
      <c r="AJ47" s="1848">
        <f>SUMIF($AD48:$AD52,$AD47,AJ48:AJ52)</f>
        <v>0</v>
      </c>
      <c r="AK47" s="1848">
        <f>SUMIF($AD48:$AD52,$AD47,AK48:AK52)</f>
        <v>0</v>
      </c>
      <c r="AL47" s="1863">
        <f>SUMIF($AD48:$AD52,$AD47,AL48:AL52)</f>
        <v>0</v>
      </c>
      <c r="AM47" s="1863">
        <f>SUMIF($AD48:$AD52,$AD47,AM48:AM52)</f>
        <v>0</v>
      </c>
      <c r="AN47" s="1863">
        <f>SUMIF($AD48:$AD52,$AD47,AN48:AN52)</f>
        <v>0</v>
      </c>
      <c r="AO47" s="1863">
        <f>SUMIF($AD48:$AD52,$AD47,AO48:AO52)</f>
        <v>0</v>
      </c>
      <c r="AP47" s="1863">
        <f>SUMIF($AD48:$AD52,$AD47,AP48:AP52)</f>
        <v>0</v>
      </c>
      <c r="AQ47" s="1863">
        <f>SUMIF($AD48:$AD52,$AD47,AQ48:AQ52)</f>
        <v>0</v>
      </c>
      <c r="AR47" s="1863">
        <f>SUMIF($AD48:$AD52,$AD47,AR48:AR52)</f>
        <v>0</v>
      </c>
      <c r="AS47" s="279">
        <f>SUMIF($AD48:$AD52,$AD47,AS48:AS52)</f>
        <v>0</v>
      </c>
      <c r="AT47" s="1848">
        <f>SUMIF($AD48:$AD52,$AD47,AT48:AT52)</f>
        <v>0</v>
      </c>
      <c r="AU47" s="1848">
        <f>SUMIF($AD48:$AD52,$AD47,AU48:AU52)</f>
        <v>0</v>
      </c>
      <c r="AV47" s="1863">
        <f>SUMIF($AD48:$AD52,$AD47,AV48:AV52)</f>
        <v>0</v>
      </c>
      <c r="AW47" s="1863">
        <f>SUMIF($AD48:$AD52,$AD47,AW48:AW52)</f>
        <v>0</v>
      </c>
      <c r="AX47" s="1863">
        <f>SUMIF($AD48:$AD52,$AD47,AX48:AX52)</f>
        <v>0</v>
      </c>
      <c r="AY47" s="1863">
        <f>SUMIF($AD48:$AD52,$AD47,AY48:AY52)</f>
        <v>0</v>
      </c>
      <c r="AZ47" s="1863">
        <f>SUMIF($AD48:$AD52,$AD47,AZ48:AZ52)</f>
        <v>0</v>
      </c>
      <c r="BA47" s="1863">
        <f>SUMIF($AD48:$AD52,$AD47,BA48:BA52)</f>
        <v>0</v>
      </c>
      <c r="BB47" s="1863">
        <f>SUMIF($AD48:$AD52,$AD47,BB48:BB52)</f>
        <v>0</v>
      </c>
      <c r="BC47" s="1792"/>
      <c r="BD47" s="220"/>
      <c r="BE47" s="220"/>
      <c r="BF47" s="1171" t="s">
        <v>973</v>
      </c>
      <c r="BG47" s="1190"/>
      <c r="BH47" s="1190"/>
      <c r="BI47" s="1191"/>
      <c r="BJ47" s="1191"/>
    </row>
    <row s="1642" customFormat="1" customHeight="1" ht="0">
      <c r="A48" s="1400"/>
      <c r="B48" s="925"/>
      <c r="C48" s="1400"/>
      <c r="D48" s="1400"/>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42" customFormat="1" customHeight="1" ht="14.25" hidden="1">
      <c r="A49" s="1123" t="str">
        <f>"checkCosts_2."&amp;F49&amp;"."&amp;Y49</f>
        <v>checkCosts_2.1.0</v>
      </c>
      <c r="B49" s="925"/>
      <c r="C49" s="1400"/>
      <c r="D49" s="1400"/>
      <c r="E49" s="794">
        <v>15</v>
      </c>
      <c r="F49" s="920" cm="1" t="str">
        <f t="array" ref="F49:F49">OFFSET(G49,-1,-1)</f>
        <v>1</v>
      </c>
      <c r="G49" s="1512"/>
      <c r="H49" s="152" cm="1" t="str">
        <f t="array" ref="H49:H49">AC49</f>
        <v>0</v>
      </c>
      <c r="I49" s="1512"/>
      <c r="J49" s="1512"/>
      <c r="K49" s="1512"/>
      <c r="L49" s="1512"/>
      <c r="M49" s="1512"/>
      <c r="N49" s="1512"/>
      <c r="O49" s="1512"/>
      <c r="P49" s="1512"/>
      <c r="Q49" s="190"/>
      <c r="R49" s="190"/>
      <c r="S49" s="1512"/>
      <c r="T49" s="921">
        <f>AND(F49&gt;0,Y49&gt;0)</f>
        <v>0</v>
      </c>
      <c r="U49" s="1498"/>
      <c r="V49" s="1498"/>
      <c r="W49" s="156" t="s">
        <v>235</v>
      </c>
      <c r="X49" s="1498"/>
      <c r="Y49" s="156">
        <v>0</v>
      </c>
      <c r="Z49" s="1498"/>
      <c r="AA49" s="1513" t="s">
        <v>219</v>
      </c>
      <c r="AB49" s="285" t="str">
        <f>"2."&amp;Y49</f>
        <v>2.0</v>
      </c>
      <c r="AC49" s="460"/>
      <c r="AD49" s="277" t="s">
        <v>799</v>
      </c>
      <c r="AE49" s="1852">
        <f>AE50*AE51</f>
        <v>0</v>
      </c>
      <c r="AF49" s="62"/>
      <c r="AG49" s="62"/>
      <c r="AH49" s="1852">
        <f>AH50*AH51</f>
        <v>0</v>
      </c>
      <c r="AI49" s="280"/>
      <c r="AJ49" s="1664"/>
      <c r="AK49" s="1664"/>
      <c r="AL49" s="62"/>
      <c r="AM49" s="62"/>
      <c r="AN49" s="62"/>
      <c r="AO49" s="62"/>
      <c r="AP49" s="62"/>
      <c r="AQ49" s="62"/>
      <c r="AR49" s="62"/>
      <c r="AS49" s="1853">
        <f>AS50*AS51</f>
        <v>0</v>
      </c>
      <c r="AT49" s="1853">
        <f>AT50*AT51</f>
        <v>0</v>
      </c>
      <c r="AU49" s="1853">
        <f>AU50*AU51</f>
        <v>0</v>
      </c>
      <c r="AV49" s="1852">
        <f>AV50*AV51</f>
        <v>0</v>
      </c>
      <c r="AW49" s="1852">
        <f>AW50*AW51</f>
        <v>0</v>
      </c>
      <c r="AX49" s="1852">
        <f>AX50*AX51</f>
        <v>0</v>
      </c>
      <c r="AY49" s="1852">
        <f>AY50*AY51</f>
        <v>0</v>
      </c>
      <c r="AZ49" s="1852">
        <f>AZ50*AZ51</f>
        <v>0</v>
      </c>
      <c r="BA49" s="1852">
        <f>BA50*BA51</f>
        <v>0</v>
      </c>
      <c r="BB49" s="1852">
        <f>BB50*BB51</f>
        <v>0</v>
      </c>
      <c r="BC49" s="74"/>
      <c r="BD49" s="220"/>
      <c r="BE49" s="220"/>
      <c r="BF49" s="1171" t="s">
        <v>974</v>
      </c>
      <c r="BG49" s="1190" t="s">
        <v>975</v>
      </c>
      <c r="BH49" s="1190" cm="1" t="str">
        <f t="array" ref="BH49:BH49">AC49</f>
        <v>0</v>
      </c>
      <c r="BI49" s="1191"/>
      <c r="BJ49" s="1191" t="b">
        <v>1</v>
      </c>
    </row>
    <row s="1642" customFormat="1" customHeight="1" ht="14.25" hidden="1">
      <c r="B50" s="925"/>
      <c r="C50" s="1400"/>
      <c r="D50" s="1400"/>
      <c r="E50" s="923">
        <v>15</v>
      </c>
      <c r="F50" s="920" cm="1" t="str">
        <f t="array" ref="F50:F50">OFFSET(G50,-1,-1)</f>
        <v>1</v>
      </c>
      <c r="G50" s="1512"/>
      <c r="H50" s="1512" cm="1" t="str">
        <f t="array" ref="H50:H50">H49</f>
        <v>0</v>
      </c>
      <c r="I50" s="1512"/>
      <c r="J50" s="1512"/>
      <c r="K50" s="1512"/>
      <c r="L50" s="1512"/>
      <c r="M50" s="1512"/>
      <c r="N50" s="1512"/>
      <c r="O50" s="1512"/>
      <c r="P50" s="1512"/>
      <c r="Q50" s="190"/>
      <c r="R50" s="190"/>
      <c r="S50" s="1512"/>
      <c r="T50" s="943" cm="1" t="str">
        <f t="array" ref="T50:T50">T49</f>
        <v>false</v>
      </c>
      <c r="U50" s="1498"/>
      <c r="V50" s="1498"/>
      <c r="W50" s="1498"/>
      <c r="X50" s="1498"/>
      <c r="Y50" s="1498"/>
      <c r="Z50" s="1498"/>
      <c r="AA50" s="1513"/>
      <c r="AB50" s="512" t="str">
        <f>AB49&amp;".1"</f>
        <v>2.0.1</v>
      </c>
      <c r="AC50" s="489" t="s">
        <v>910</v>
      </c>
      <c r="AD50" s="1515" t="s">
        <v>965</v>
      </c>
      <c r="AE50" s="1876"/>
      <c r="AF50" s="701">
        <f>IF(AF51=0,0,AF49/AF51)</f>
        <v>0</v>
      </c>
      <c r="AG50" s="701">
        <f>IF(AG51=0,0,AG49/AG51)</f>
        <v>0</v>
      </c>
      <c r="AH50" s="1876"/>
      <c r="AI50" s="701">
        <f>IF(AI51=0,0,AI49/AI51)</f>
        <v>0</v>
      </c>
      <c r="AJ50" s="1853">
        <f>IF(AJ51=0,0,AJ49/AJ51)</f>
        <v>0</v>
      </c>
      <c r="AK50" s="1853">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664"/>
      <c r="AU50" s="1664"/>
      <c r="AV50" s="1876"/>
      <c r="AW50" s="1876"/>
      <c r="AX50" s="1876"/>
      <c r="AY50" s="1876"/>
      <c r="AZ50" s="1876"/>
      <c r="BA50" s="1876"/>
      <c r="BB50" s="1876"/>
      <c r="BC50" s="1847"/>
      <c r="BD50" s="220"/>
      <c r="BE50" s="220"/>
      <c r="BF50" s="1178" t="s">
        <v>976</v>
      </c>
      <c r="BG50" s="1190" t="s">
        <v>975</v>
      </c>
      <c r="BH50" s="1190" cm="1" t="str">
        <f t="array" ref="BH50:BH50">BH49</f>
        <v>0</v>
      </c>
      <c r="BI50" s="1191"/>
      <c r="BJ50" s="1191"/>
    </row>
    <row s="1642" customFormat="1" customHeight="1" ht="14.25" hidden="1">
      <c r="A51" s="1123" t="str">
        <f>"checkVolume_2."&amp;F51&amp;"."&amp;Y49</f>
        <v>checkVolume_2.1.0</v>
      </c>
      <c r="B51" s="925"/>
      <c r="C51" s="1400"/>
      <c r="D51" s="1400"/>
      <c r="E51" s="794">
        <v>15</v>
      </c>
      <c r="F51" s="920" cm="1" t="str">
        <f t="array" ref="F51:F51">OFFSET(G51,-1,-1)</f>
        <v>1</v>
      </c>
      <c r="G51" s="1512"/>
      <c r="H51" s="152" cm="1" t="str">
        <f t="array" ref="H51:H51">H49</f>
        <v>0</v>
      </c>
      <c r="I51" s="1512"/>
      <c r="J51" s="1512"/>
      <c r="K51" s="1512"/>
      <c r="L51" s="1512"/>
      <c r="M51" s="1512"/>
      <c r="N51" s="1512"/>
      <c r="O51" s="1512"/>
      <c r="P51" s="1512"/>
      <c r="Q51" s="190"/>
      <c r="R51" s="190"/>
      <c r="S51" s="1512"/>
      <c r="T51" s="921" cm="1" t="str">
        <f t="array" ref="T51:T51">T49</f>
        <v>false</v>
      </c>
      <c r="U51" s="1498"/>
      <c r="V51" s="1498"/>
      <c r="W51" s="1498"/>
      <c r="X51" s="1498"/>
      <c r="Y51" s="1498"/>
      <c r="Z51" s="1498"/>
      <c r="AA51" s="1513"/>
      <c r="AB51" s="285" t="str">
        <f>AB49&amp;".2"</f>
        <v>2.0.2</v>
      </c>
      <c r="AC51" s="291" t="s">
        <v>977</v>
      </c>
      <c r="AD51" s="151" t="s">
        <v>968</v>
      </c>
      <c r="AE51" s="62"/>
      <c r="AF51" s="62"/>
      <c r="AG51" s="62"/>
      <c r="AH51" s="62"/>
      <c r="AI51" s="280"/>
      <c r="AJ51" s="1664"/>
      <c r="AK51" s="1664"/>
      <c r="AL51" s="62"/>
      <c r="AM51" s="62"/>
      <c r="AN51" s="62"/>
      <c r="AO51" s="62"/>
      <c r="AP51" s="62"/>
      <c r="AQ51" s="62"/>
      <c r="AR51" s="62"/>
      <c r="AS51" s="280"/>
      <c r="AT51" s="1664"/>
      <c r="AU51" s="1664"/>
      <c r="AV51" s="62"/>
      <c r="AW51" s="62"/>
      <c r="AX51" s="62"/>
      <c r="AY51" s="62"/>
      <c r="AZ51" s="62"/>
      <c r="BA51" s="62"/>
      <c r="BB51" s="62"/>
      <c r="BC51" s="74"/>
      <c r="BD51" s="220"/>
      <c r="BE51" s="220"/>
      <c r="BF51" s="1171" t="s">
        <v>978</v>
      </c>
      <c r="BG51" s="1190" t="s">
        <v>975</v>
      </c>
      <c r="BH51" s="1190" cm="1" t="str">
        <f t="array" ref="BH51:BH51">BH49</f>
        <v>0</v>
      </c>
      <c r="BI51" s="1191"/>
      <c r="BJ51" s="1191"/>
    </row>
    <row s="1642" customFormat="1" customHeight="1" ht="14.25">
      <c r="A52" s="1400"/>
      <c r="B52" s="925"/>
      <c r="C52" s="1400"/>
      <c r="D52" s="1400"/>
      <c r="E52" s="794">
        <v>15</v>
      </c>
      <c r="F52" s="920" cm="1" t="str">
        <f t="array" ref="F52:F52">OFFSET(G52,-1,-1)</f>
        <v>1</v>
      </c>
      <c r="G52" s="1512"/>
      <c r="H52" s="1512"/>
      <c r="I52" s="1512"/>
      <c r="J52" s="1512"/>
      <c r="K52" s="1512"/>
      <c r="L52" s="1512"/>
      <c r="M52" s="1512"/>
      <c r="N52" s="1512"/>
      <c r="O52" s="1512"/>
      <c r="P52" s="1512"/>
      <c r="Q52" s="190"/>
      <c r="R52" s="190"/>
      <c r="S52" s="1512"/>
      <c r="T52" s="816">
        <f>F52&gt;0</f>
        <v>1</v>
      </c>
      <c r="U52" s="1498"/>
      <c r="V52" s="1498"/>
      <c r="W52" s="371" t="s">
        <v>979</v>
      </c>
      <c r="X52" s="1498"/>
      <c r="Y52" s="1498"/>
      <c r="Z52" s="1498"/>
      <c r="AA52" s="220"/>
      <c r="AB52" s="299"/>
      <c r="AC52" s="300" t="s">
        <v>946</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1"/>
      <c r="BD52" s="220"/>
      <c r="BE52" s="220"/>
      <c r="BF52" s="1190"/>
      <c r="BG52" s="1190"/>
      <c r="BH52" s="1190"/>
      <c r="BI52" s="1191" t="s">
        <v>975</v>
      </c>
      <c r="BJ52" s="1191"/>
    </row>
    <row customHeight="1" ht="11.115">
      <c r="E53" s="923">
        <v>11.4</v>
      </c>
      <c r="Q53" s="736"/>
      <c r="U53" s="176" t="s">
        <v>237</v>
      </c>
      <c r="V53" s="168" t="s">
        <v>980</v>
      </c>
      <c r="AI53" s="220"/>
      <c r="AJ53" s="220"/>
      <c r="AK53" s="220"/>
      <c r="AL53" s="220"/>
      <c r="AM53" s="220"/>
      <c r="AN53" s="220"/>
      <c r="AO53" s="220"/>
      <c r="AP53" s="220"/>
      <c r="AQ53" s="220"/>
      <c r="AR53" s="220"/>
      <c r="AS53" s="220"/>
      <c r="AT53" s="220"/>
      <c r="AU53" s="220"/>
      <c r="AV53" s="220"/>
      <c r="AW53" s="220"/>
      <c r="AX53" s="220"/>
      <c r="AY53" s="220"/>
      <c r="AZ53" s="220"/>
      <c r="BA53" s="220"/>
      <c r="BB53" s="220"/>
    </row>
    <row customHeight="1" ht="11.25" hidden="1">
      <c r="E54" s="923">
        <v>0</v>
      </c>
      <c r="Q54" s="736"/>
      <c r="V54" s="168"/>
      <c r="AI54" s="220"/>
      <c r="AJ54" s="220"/>
      <c r="AK54" s="220"/>
      <c r="AL54" s="220"/>
      <c r="AM54" s="220"/>
      <c r="AN54" s="220"/>
      <c r="AO54" s="220"/>
      <c r="AP54" s="220"/>
      <c r="AQ54" s="220"/>
      <c r="AR54" s="220"/>
      <c r="AS54" s="220"/>
      <c r="AT54" s="220"/>
      <c r="AU54" s="220"/>
      <c r="AV54" s="220"/>
      <c r="AW54" s="220"/>
      <c r="AX54" s="220"/>
      <c r="AY54" s="220"/>
      <c r="AZ54" s="220"/>
      <c r="BA54" s="220"/>
      <c r="BB54" s="220"/>
    </row>
    <row s="497" customFormat="1" customHeight="1" ht="14.625">
      <c r="A55" s="172"/>
      <c r="B55" s="785"/>
      <c r="C55" s="172"/>
      <c r="D55" s="172"/>
      <c r="E55" s="794">
        <v>15</v>
      </c>
      <c r="F55" s="172"/>
      <c r="Q55" s="736"/>
      <c r="R55" s="736"/>
      <c r="T55" s="172"/>
      <c r="U55" s="172"/>
      <c r="V55" s="172"/>
      <c r="W55" s="172"/>
      <c r="X55" s="172"/>
      <c r="Y55" s="172"/>
      <c r="Z55" s="172"/>
      <c r="AB55" s="1507" t="s">
        <v>694</v>
      </c>
      <c r="AC55" s="1507"/>
      <c r="AD55" s="1507"/>
      <c r="AE55" s="1507"/>
      <c r="AF55" s="1507"/>
      <c r="AG55" s="1507"/>
      <c r="AH55" s="1507"/>
      <c r="AI55" s="1508"/>
      <c r="AJ55" s="1508"/>
      <c r="AK55" s="1508"/>
      <c r="AL55" s="1508"/>
      <c r="AM55" s="1508"/>
      <c r="AN55" s="1508"/>
      <c r="AO55" s="1508"/>
      <c r="AP55" s="1508"/>
      <c r="AQ55" s="1508"/>
      <c r="AR55" s="1508"/>
      <c r="AS55" s="1508"/>
      <c r="AT55" s="1508"/>
      <c r="AU55" s="1508"/>
      <c r="AV55" s="1508"/>
      <c r="AW55" s="1508"/>
      <c r="AX55" s="1508"/>
      <c r="AY55" s="1508"/>
      <c r="AZ55" s="1508"/>
      <c r="BA55" s="1508"/>
      <c r="BB55" s="1508"/>
      <c r="BC55" s="1508"/>
      <c r="BF55" s="1182"/>
      <c r="BG55" s="1182"/>
      <c r="BH55" s="1182"/>
      <c r="BI55" s="1185"/>
      <c r="BJ55" s="1185"/>
    </row>
    <row s="497" customFormat="1" customHeight="1" ht="14.625">
      <c r="A56" s="172"/>
      <c r="B56" s="785"/>
      <c r="C56" s="172"/>
      <c r="D56" s="172"/>
      <c r="E56" s="794">
        <v>15</v>
      </c>
      <c r="F56" s="172"/>
      <c r="Q56" s="736"/>
      <c r="R56" s="736"/>
      <c r="T56" s="172"/>
      <c r="U56" s="172"/>
      <c r="V56" s="172"/>
      <c r="W56" s="172"/>
      <c r="X56" s="172"/>
      <c r="Y56" s="172"/>
      <c r="Z56" s="172"/>
      <c r="AA56" s="919"/>
      <c r="AB56" s="1509"/>
      <c r="AC56" s="1509"/>
      <c r="AD56" s="1509"/>
      <c r="AE56" s="1509"/>
      <c r="AF56" s="1509"/>
      <c r="AG56" s="1509"/>
      <c r="AH56" s="1509"/>
      <c r="AI56" s="1510"/>
      <c r="AJ56" s="1870"/>
      <c r="AK56" s="1870"/>
      <c r="AL56" s="1870"/>
      <c r="AM56" s="1870"/>
      <c r="AN56" s="1870"/>
      <c r="AO56" s="1870"/>
      <c r="AP56" s="1870"/>
      <c r="AQ56" s="1870"/>
      <c r="AR56" s="1870"/>
      <c r="AS56" s="1510"/>
      <c r="AT56" s="1870"/>
      <c r="AU56" s="1870"/>
      <c r="AV56" s="1870"/>
      <c r="AW56" s="1870"/>
      <c r="AX56" s="1870"/>
      <c r="AY56" s="1870"/>
      <c r="AZ56" s="1870"/>
      <c r="BA56" s="1870"/>
      <c r="BB56" s="1870"/>
      <c r="BC56" s="1510"/>
      <c r="BF56" s="1182"/>
      <c r="BG56" s="1182"/>
      <c r="BH56" s="1182"/>
      <c r="BI56" s="1185"/>
      <c r="BJ56" s="1185"/>
    </row>
    <row s="497" customFormat="1" customHeight="1" ht="14.625" hidden="1">
      <c r="A57" s="172"/>
      <c r="B57" s="785"/>
      <c r="C57" s="172"/>
      <c r="D57" s="172"/>
      <c r="E57" s="794">
        <v>15</v>
      </c>
      <c r="F57" s="172"/>
      <c r="G57" s="497"/>
      <c r="H57" s="497"/>
      <c r="I57" s="497"/>
      <c r="J57" s="497"/>
      <c r="K57" s="497"/>
      <c r="L57" s="497"/>
      <c r="M57" s="497"/>
      <c r="N57" s="497"/>
      <c r="O57" s="497"/>
      <c r="P57" s="497"/>
      <c r="Q57" s="736"/>
      <c r="R57" s="736"/>
      <c r="S57" s="497"/>
      <c r="T57" s="805">
        <f>ROW(W57)&gt;ROW(W$57)</f>
        <v>0</v>
      </c>
      <c r="U57" s="172"/>
      <c r="V57" s="172"/>
      <c r="W57" s="172" t="s">
        <v>235</v>
      </c>
      <c r="X57" s="172"/>
      <c r="Y57" s="172"/>
      <c r="Z57" s="172"/>
      <c r="AA57" s="915" t="s">
        <v>219</v>
      </c>
      <c r="AB57" s="1871"/>
      <c r="AC57" s="1871"/>
      <c r="AD57" s="1871"/>
      <c r="AE57" s="1871"/>
      <c r="AF57" s="1871"/>
      <c r="AG57" s="1871"/>
      <c r="AH57" s="1871"/>
      <c r="AI57" s="1510"/>
      <c r="AJ57" s="1870"/>
      <c r="AK57" s="1870"/>
      <c r="AL57" s="1870"/>
      <c r="AM57" s="1870"/>
      <c r="AN57" s="1870"/>
      <c r="AO57" s="1870"/>
      <c r="AP57" s="1870"/>
      <c r="AQ57" s="1870"/>
      <c r="AR57" s="1870"/>
      <c r="AS57" s="1510"/>
      <c r="AT57" s="1870"/>
      <c r="AU57" s="1870"/>
      <c r="AV57" s="1870"/>
      <c r="AW57" s="1870"/>
      <c r="AX57" s="1870"/>
      <c r="AY57" s="1870"/>
      <c r="AZ57" s="1870"/>
      <c r="BA57" s="1870"/>
      <c r="BB57" s="1870"/>
      <c r="BC57" s="1870"/>
      <c r="BD57" s="497"/>
      <c r="BE57" s="497"/>
      <c r="BF57" s="1182"/>
      <c r="BG57" s="1182"/>
      <c r="BH57" s="1182"/>
      <c r="BI57" s="1185"/>
      <c r="BJ57" s="1185"/>
    </row>
    <row s="497" customFormat="1" customHeight="1" ht="14.625">
      <c r="A58" s="172"/>
      <c r="B58" s="785"/>
      <c r="C58" s="172"/>
      <c r="D58" s="172"/>
      <c r="E58" s="794">
        <v>15</v>
      </c>
      <c r="F58" s="172"/>
      <c r="Q58" s="736"/>
      <c r="R58" s="736"/>
      <c r="T58" s="172"/>
      <c r="U58" s="172"/>
      <c r="V58" s="172"/>
      <c r="W58" s="168" t="s">
        <v>981</v>
      </c>
      <c r="X58" s="172"/>
      <c r="Y58" s="172"/>
      <c r="Z58" s="172"/>
      <c r="AB58" s="1453" t="s">
        <v>695</v>
      </c>
      <c r="AC58" s="1454"/>
      <c r="AD58" s="380"/>
      <c r="AE58" s="380"/>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2"/>
      <c r="BF58" s="1182"/>
      <c r="BG58" s="1182"/>
      <c r="BH58" s="1182"/>
      <c r="BI58" s="1185"/>
      <c r="BJ58" s="1185"/>
    </row>
    <row customHeight="1" ht="11.25">
      <c r="AI59" s="220"/>
      <c r="AJ59" s="220"/>
      <c r="AK59" s="220"/>
      <c r="AL59" s="220"/>
      <c r="AM59" s="220"/>
      <c r="AN59" s="220"/>
      <c r="AO59" s="220"/>
      <c r="AP59" s="220"/>
      <c r="AQ59" s="220"/>
      <c r="AR59" s="220"/>
      <c r="AS59" s="220"/>
      <c r="AT59" s="220"/>
      <c r="AU59" s="220"/>
      <c r="AV59" s="220"/>
      <c r="AW59" s="220"/>
      <c r="AX59" s="220"/>
      <c r="AY59" s="220"/>
      <c r="AZ59" s="220"/>
      <c r="BA59" s="220"/>
      <c r="BB59" s="220"/>
      <c r="BD59" s="220"/>
    </row>
  </sheetData>
  <sheetProtection formatColumns="0" formatRows="0" autoFilter="0" sort="0" insertRows="0" insertColumns="1" deleteRows="0" deleteColumns="0"/>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6CF35-31B8-2D18-EA18-AEE6282AC7E6}" mc:Ignorable="x14ac xr xr2 xr3">
  <sheetPr>
    <tabColor rgb="FF002060"/>
    <outlinePr summaryRight="0" summaryBelow="0"/>
    <pageSetUpPr fitToPage="1"/>
  </sheetPr>
  <dimension ref="A1:BF231"/>
  <sheetViews>
    <sheetView showGridLines="0" workbookViewId="0">
      <pane xSplit="30" ySplit="26" topLeftCell="AE195"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9.5742187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98"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371</v>
      </c>
      <c r="Z1" s="805" t="s">
        <v>93</v>
      </c>
      <c r="AA1" s="816" t="s">
        <v>90</v>
      </c>
      <c r="AB1" s="816" t="s">
        <v>92</v>
      </c>
      <c r="AI1" s="1498"/>
      <c r="AJ1" s="1498"/>
      <c r="AK1" s="1498"/>
      <c r="AL1" s="1498"/>
      <c r="AM1" s="1498"/>
      <c r="AN1" s="1498"/>
      <c r="AO1" s="1498"/>
      <c r="AP1" s="1498"/>
      <c r="AQ1" s="1498"/>
      <c r="AR1" s="1498"/>
      <c r="AS1" s="1498"/>
      <c r="AT1" s="1498"/>
      <c r="AU1" s="1498"/>
      <c r="AV1" s="1498"/>
      <c r="AW1" s="1498"/>
      <c r="AX1" s="1498"/>
      <c r="AY1" s="1498"/>
      <c r="AZ1" s="1498"/>
      <c r="BA1" s="1498"/>
      <c r="BB1" s="1498"/>
      <c r="BF1" s="1171" t="s">
        <v>372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98" customFormat="1" customHeight="1" ht="12" hidden="1">
      <c r="B3" s="785"/>
      <c r="E3" s="785"/>
      <c r="G3" s="211"/>
      <c r="H3" s="211"/>
      <c r="I3" s="211"/>
      <c r="J3" s="211"/>
      <c r="K3" s="211"/>
      <c r="L3" s="211"/>
      <c r="M3" s="211"/>
      <c r="N3" s="211"/>
      <c r="O3" s="211"/>
      <c r="P3" s="211"/>
      <c r="Q3" s="736"/>
      <c r="R3" s="736"/>
      <c r="S3" s="211"/>
      <c r="AI3" s="1498"/>
      <c r="AJ3" s="1498"/>
      <c r="AK3" s="1498"/>
      <c r="AL3" s="1498"/>
      <c r="AM3" s="1498"/>
      <c r="AN3" s="1498"/>
      <c r="AO3" s="1498"/>
      <c r="AP3" s="1498"/>
      <c r="AQ3" s="1498"/>
      <c r="AR3" s="1498"/>
      <c r="AS3" s="1498"/>
      <c r="AT3" s="1498"/>
      <c r="AU3" s="1498"/>
      <c r="AV3" s="1498"/>
      <c r="AW3" s="1498"/>
      <c r="AX3" s="1498"/>
      <c r="AY3" s="1498"/>
      <c r="AZ3" s="1498"/>
      <c r="BA3" s="1498"/>
      <c r="BB3" s="1498"/>
      <c r="BF3" s="1171"/>
    </row>
    <row s="1498" customFormat="1" customHeight="1" ht="12" hidden="1">
      <c r="B4" s="785"/>
      <c r="E4" s="785"/>
      <c r="G4" s="211"/>
      <c r="H4" s="211"/>
      <c r="I4" s="211"/>
      <c r="J4" s="211"/>
      <c r="K4" s="211"/>
      <c r="L4" s="211"/>
      <c r="M4" s="211"/>
      <c r="N4" s="211"/>
      <c r="O4" s="211"/>
      <c r="P4" s="211"/>
      <c r="Q4" s="736"/>
      <c r="R4" s="736"/>
      <c r="S4" s="211"/>
      <c r="AI4" s="1498"/>
      <c r="AJ4" s="1498"/>
      <c r="AK4" s="1498"/>
      <c r="AL4" s="1498"/>
      <c r="AM4" s="1498"/>
      <c r="AN4" s="1498"/>
      <c r="AO4" s="1498"/>
      <c r="AP4" s="1498"/>
      <c r="AQ4" s="1498"/>
      <c r="AR4" s="1498"/>
      <c r="AS4" s="1498"/>
      <c r="AT4" s="1498"/>
      <c r="AU4" s="1498"/>
      <c r="AV4" s="1498"/>
      <c r="AW4" s="1498"/>
      <c r="AX4" s="1498"/>
      <c r="AY4" s="1498"/>
      <c r="AZ4" s="1498"/>
      <c r="BA4" s="1498"/>
      <c r="BB4" s="1498"/>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98"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424</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425</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426</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98" customFormat="1" customHeight="1" ht="11.25" hidden="1">
      <c r="B12" s="785"/>
      <c r="E12" s="794"/>
      <c r="G12" s="211"/>
      <c r="H12" s="211"/>
      <c r="I12" s="211"/>
      <c r="J12" s="211"/>
      <c r="K12" s="211"/>
      <c r="L12" s="211"/>
      <c r="M12" s="211"/>
      <c r="N12" s="211"/>
      <c r="O12" s="211"/>
      <c r="P12" s="211"/>
      <c r="Q12" s="736"/>
      <c r="R12" s="736"/>
      <c r="S12" s="211"/>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F12" s="1171"/>
    </row>
    <row s="1498"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98"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98"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98"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98" customFormat="1" customHeight="1" ht="11.25" hidden="1">
      <c r="B17" s="785"/>
      <c r="E17" s="794"/>
      <c r="G17" s="211"/>
      <c r="H17" s="211"/>
      <c r="I17" s="211"/>
      <c r="J17" s="211"/>
      <c r="K17" s="211"/>
      <c r="L17" s="211"/>
      <c r="M17" s="211"/>
      <c r="N17" s="211"/>
      <c r="O17" s="211"/>
      <c r="P17" s="211"/>
      <c r="Q17" s="736"/>
      <c r="R17" s="736"/>
      <c r="S17" s="211"/>
      <c r="AI17" s="1498"/>
      <c r="AJ17" s="1498"/>
      <c r="AK17" s="1498"/>
      <c r="AL17" s="1498"/>
      <c r="AM17" s="1498"/>
      <c r="AN17" s="1498"/>
      <c r="AO17" s="1498"/>
      <c r="AP17" s="1498"/>
      <c r="AQ17" s="1498"/>
      <c r="AR17" s="1498"/>
      <c r="AS17" s="1498"/>
      <c r="AT17" s="1498"/>
      <c r="AU17" s="1498"/>
      <c r="AV17" s="1498"/>
      <c r="AW17" s="1498"/>
      <c r="AX17" s="172"/>
      <c r="AY17" s="172"/>
      <c r="AZ17" s="172"/>
      <c r="BA17" s="172"/>
      <c r="BB17" s="172"/>
      <c r="BF17" s="1171"/>
    </row>
    <row s="1498" customFormat="1" customHeight="1" ht="11.25" hidden="1">
      <c r="B18" s="785"/>
      <c r="E18" s="794"/>
      <c r="G18" s="211"/>
      <c r="H18" s="211"/>
      <c r="I18" s="211"/>
      <c r="J18" s="211"/>
      <c r="K18" s="211"/>
      <c r="L18" s="211"/>
      <c r="M18" s="211"/>
      <c r="N18" s="211"/>
      <c r="O18" s="211"/>
      <c r="P18" s="211"/>
      <c r="Q18" s="736"/>
      <c r="R18" s="736"/>
      <c r="S18" s="211"/>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F18" s="1171"/>
    </row>
    <row s="1498" customFormat="1" customHeight="1" ht="11.25" hidden="1">
      <c r="B19" s="785"/>
      <c r="E19" s="794"/>
      <c r="G19" s="211"/>
      <c r="H19" s="211"/>
      <c r="I19" s="211"/>
      <c r="J19" s="211"/>
      <c r="K19" s="211"/>
      <c r="L19" s="211"/>
      <c r="M19" s="211"/>
      <c r="N19" s="211"/>
      <c r="O19" s="211"/>
      <c r="P19" s="211"/>
      <c r="Q19" s="736"/>
      <c r="R19" s="736"/>
      <c r="S19" s="211"/>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F19" s="1171"/>
    </row>
    <row s="1498" customFormat="1" customHeight="1" ht="11.25" hidden="1">
      <c r="B20" s="785"/>
      <c r="E20" s="794"/>
      <c r="G20" s="211"/>
      <c r="H20" s="211"/>
      <c r="I20" s="211"/>
      <c r="J20" s="211"/>
      <c r="K20" s="211"/>
      <c r="L20" s="211"/>
      <c r="M20" s="211"/>
      <c r="N20" s="211"/>
      <c r="O20" s="211"/>
      <c r="P20" s="211"/>
      <c r="Q20" s="736"/>
      <c r="R20" s="736"/>
      <c r="S20" s="211"/>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F20" s="1171"/>
    </row>
    <row customHeight="1" ht="14.625">
      <c r="E21" s="794">
        <v>15</v>
      </c>
      <c r="AA21" s="817"/>
      <c r="AC21" s="400" cm="1" t="str">
        <f t="array" ref="AC21:AC21">tpl_title</f>
        <v>Ульяновская область / 2026 / ООО "НИИАР-ГЕНЕРАЦИЯ" (ИНН:7329008990, КПП:732901001)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982</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7" t="s">
        <v>959</v>
      </c>
      <c r="AC24" s="1515" t="s">
        <v>226</v>
      </c>
      <c r="AD24" s="1507"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582</v>
      </c>
    </row>
    <row customHeight="1" ht="48.847500000000004">
      <c r="E25" s="794">
        <v>50.1</v>
      </c>
      <c r="AB25" s="1507"/>
      <c r="AC25" s="1515"/>
      <c r="AD25" s="1507"/>
      <c r="AE25" s="167" t="s">
        <v>401</v>
      </c>
      <c r="AF25" s="1354" t="s">
        <v>583</v>
      </c>
      <c r="AG25" s="167" t="s">
        <v>584</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311</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983</v>
      </c>
      <c r="AD28" s="153" t="s">
        <v>799</v>
      </c>
      <c r="AE28" s="103">
        <f>SUM(AE29:AE32)+SUM(AE38:AE41)</f>
        <v>0</v>
      </c>
      <c r="AF28" s="103">
        <f>SUM(AF29:AF32)+SUM(AF38:AF41)</f>
        <v>0</v>
      </c>
      <c r="AG28" s="103">
        <f>SUM(AG29:AG32)+SUM(AG38:AG41)</f>
        <v>0</v>
      </c>
      <c r="AH28" s="103">
        <f>SUM(AH29:AH32)+SUM(AH38:AH41)</f>
        <v>0</v>
      </c>
      <c r="AI28" s="292">
        <f>SUM(AI29:AI32)+SUM(AI38:AI41)</f>
        <v>0</v>
      </c>
      <c r="AJ28" s="1848">
        <f>SUM(AJ29:AJ32)+SUM(AJ38:AJ41)</f>
        <v>0</v>
      </c>
      <c r="AK28" s="1848">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48">
        <f>SUM(AT29:AT32)+SUM(AT38:AT41)</f>
        <v>0</v>
      </c>
      <c r="AU28" s="1848">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984</v>
      </c>
    </row>
    <row customHeight="1" ht="14.625" hidden="1">
      <c r="E29" s="794">
        <v>15</v>
      </c>
      <c r="F29" s="920" cm="1" t="str">
        <f t="array" ref="F29:F29">F28</f>
        <v>0</v>
      </c>
      <c r="T29" s="816" cm="1" t="str">
        <f t="array" ref="T29:T29">T28</f>
        <v>false</v>
      </c>
      <c r="AB29" s="486" t="s">
        <v>436</v>
      </c>
      <c r="AC29" s="487" t="s">
        <v>985</v>
      </c>
      <c r="AD29" s="486" t="s">
        <v>986</v>
      </c>
      <c r="AE29" s="62"/>
      <c r="AF29" s="62"/>
      <c r="AG29" s="62"/>
      <c r="AH29" s="62"/>
      <c r="AI29" s="280"/>
      <c r="AJ29" s="1664"/>
      <c r="AK29" s="1664"/>
      <c r="AL29" s="62"/>
      <c r="AM29" s="62"/>
      <c r="AN29" s="62"/>
      <c r="AO29" s="62"/>
      <c r="AP29" s="62"/>
      <c r="AQ29" s="62"/>
      <c r="AR29" s="62"/>
      <c r="AS29" s="280"/>
      <c r="AT29" s="1664"/>
      <c r="AU29" s="1664"/>
      <c r="AV29" s="62"/>
      <c r="AW29" s="62"/>
      <c r="AX29" s="62"/>
      <c r="AY29" s="62"/>
      <c r="AZ29" s="62"/>
      <c r="BA29" s="62"/>
      <c r="BB29" s="62"/>
      <c r="BC29" s="74"/>
      <c r="BF29" s="1171" t="s">
        <v>987</v>
      </c>
    </row>
    <row customHeight="1" ht="14.625" hidden="1">
      <c r="E30" s="794">
        <v>15</v>
      </c>
      <c r="F30" s="920" cm="1" t="str">
        <f t="array" ref="F30:F30">F29</f>
        <v>0</v>
      </c>
      <c r="T30" s="816" cm="1" t="str">
        <f t="array" ref="T30:T30">T29</f>
        <v>false</v>
      </c>
      <c r="AB30" s="486" t="s">
        <v>899</v>
      </c>
      <c r="AC30" s="487" t="s">
        <v>988</v>
      </c>
      <c r="AD30" s="486" t="s">
        <v>986</v>
      </c>
      <c r="AE30" s="62"/>
      <c r="AF30" s="62"/>
      <c r="AG30" s="62"/>
      <c r="AH30" s="62"/>
      <c r="AI30" s="280"/>
      <c r="AJ30" s="1664"/>
      <c r="AK30" s="1664"/>
      <c r="AL30" s="62"/>
      <c r="AM30" s="62"/>
      <c r="AN30" s="62"/>
      <c r="AO30" s="62"/>
      <c r="AP30" s="62"/>
      <c r="AQ30" s="62"/>
      <c r="AR30" s="62"/>
      <c r="AS30" s="280"/>
      <c r="AT30" s="1664"/>
      <c r="AU30" s="1664"/>
      <c r="AV30" s="62"/>
      <c r="AW30" s="62"/>
      <c r="AX30" s="62"/>
      <c r="AY30" s="62"/>
      <c r="AZ30" s="62"/>
      <c r="BA30" s="62"/>
      <c r="BB30" s="62"/>
      <c r="BC30" s="74"/>
      <c r="BF30" s="1171" t="s">
        <v>989</v>
      </c>
    </row>
    <row customHeight="1" ht="14.625" hidden="1">
      <c r="E31" s="794">
        <v>15</v>
      </c>
      <c r="F31" s="920" cm="1" t="str">
        <f t="array" ref="F31:F31">F30</f>
        <v>0</v>
      </c>
      <c r="T31" s="816" cm="1" t="str">
        <f t="array" ref="T31:T31">T30</f>
        <v>false</v>
      </c>
      <c r="AB31" s="486" t="s">
        <v>901</v>
      </c>
      <c r="AC31" s="487" t="s">
        <v>990</v>
      </c>
      <c r="AD31" s="486" t="s">
        <v>986</v>
      </c>
      <c r="AE31" s="62"/>
      <c r="AF31" s="62"/>
      <c r="AG31" s="62"/>
      <c r="AH31" s="62"/>
      <c r="AI31" s="280"/>
      <c r="AJ31" s="1664"/>
      <c r="AK31" s="1664"/>
      <c r="AL31" s="62"/>
      <c r="AM31" s="62"/>
      <c r="AN31" s="62"/>
      <c r="AO31" s="62"/>
      <c r="AP31" s="62"/>
      <c r="AQ31" s="62"/>
      <c r="AR31" s="62"/>
      <c r="AS31" s="280"/>
      <c r="AT31" s="1664"/>
      <c r="AU31" s="1664"/>
      <c r="AV31" s="62"/>
      <c r="AW31" s="62"/>
      <c r="AX31" s="62"/>
      <c r="AY31" s="62"/>
      <c r="AZ31" s="62"/>
      <c r="BA31" s="62"/>
      <c r="BB31" s="62"/>
      <c r="BC31" s="74"/>
      <c r="BF31" s="1171" t="s">
        <v>991</v>
      </c>
    </row>
    <row customHeight="1" ht="14.625" hidden="1">
      <c r="E32" s="794">
        <v>15</v>
      </c>
      <c r="F32" s="920" cm="1" t="str">
        <f t="array" ref="F32:F32">F31</f>
        <v>0</v>
      </c>
      <c r="T32" s="816" cm="1" t="str">
        <f t="array" ref="T32:T32">T31</f>
        <v>false</v>
      </c>
      <c r="AB32" s="486" t="s">
        <v>905</v>
      </c>
      <c r="AC32" s="487" t="s">
        <v>992</v>
      </c>
      <c r="AD32" s="486" t="s">
        <v>986</v>
      </c>
      <c r="AE32" s="86">
        <f>SUM(AE33:AE37)</f>
        <v>0</v>
      </c>
      <c r="AF32" s="86">
        <f>SUM(AF33:AF37)</f>
        <v>0</v>
      </c>
      <c r="AG32" s="86">
        <f>SUM(AG33:AG37)</f>
        <v>0</v>
      </c>
      <c r="AH32" s="86">
        <f>SUM(AH33:AH37)</f>
        <v>0</v>
      </c>
      <c r="AI32" s="481">
        <f>SUM(AI33:AI37)</f>
        <v>0</v>
      </c>
      <c r="AJ32" s="1787">
        <f>SUM(AJ33:AJ37)</f>
        <v>0</v>
      </c>
      <c r="AK32" s="1787">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87">
        <f>SUM(AT33:AT37)</f>
        <v>0</v>
      </c>
      <c r="AU32" s="1787">
        <f>SUM(AU33:AU37)</f>
        <v>0</v>
      </c>
      <c r="AV32" s="86">
        <f>SUM(AV33:AV37)</f>
        <v>0</v>
      </c>
      <c r="AW32" s="86">
        <f>SUM(AW33:AW37)</f>
        <v>0</v>
      </c>
      <c r="AX32" s="86">
        <f>SUM(AX33:AX37)</f>
        <v>0</v>
      </c>
      <c r="AY32" s="86">
        <f>SUM(AY33:AY37)</f>
        <v>0</v>
      </c>
      <c r="AZ32" s="86">
        <f>SUM(AZ33:AZ37)</f>
        <v>0</v>
      </c>
      <c r="BA32" s="86">
        <f>SUM(BA33:BA37)</f>
        <v>0</v>
      </c>
      <c r="BB32" s="86">
        <f>SUM(BB33:BB37)</f>
        <v>0</v>
      </c>
      <c r="BC32" s="74"/>
      <c r="BF32" s="1171" t="s">
        <v>993</v>
      </c>
    </row>
    <row customHeight="1" ht="14.625" hidden="1">
      <c r="E33" s="794">
        <v>15</v>
      </c>
      <c r="F33" s="920" cm="1" t="str">
        <f t="array" ref="F33:F33">F32</f>
        <v>0</v>
      </c>
      <c r="T33" s="816" cm="1" t="str">
        <f t="array" ref="T33:T33">T32</f>
        <v>false</v>
      </c>
      <c r="AB33" s="486" t="s">
        <v>994</v>
      </c>
      <c r="AC33" s="488" t="s">
        <v>995</v>
      </c>
      <c r="AD33" s="486" t="s">
        <v>986</v>
      </c>
      <c r="AE33" s="62"/>
      <c r="AF33" s="62"/>
      <c r="AG33" s="62"/>
      <c r="AH33" s="62"/>
      <c r="AI33" s="280"/>
      <c r="AJ33" s="1664"/>
      <c r="AK33" s="1664"/>
      <c r="AL33" s="62"/>
      <c r="AM33" s="62"/>
      <c r="AN33" s="62"/>
      <c r="AO33" s="62"/>
      <c r="AP33" s="62"/>
      <c r="AQ33" s="62"/>
      <c r="AR33" s="62"/>
      <c r="AS33" s="280"/>
      <c r="AT33" s="1664"/>
      <c r="AU33" s="1664"/>
      <c r="AV33" s="62"/>
      <c r="AW33" s="62"/>
      <c r="AX33" s="62"/>
      <c r="AY33" s="62"/>
      <c r="AZ33" s="62"/>
      <c r="BA33" s="62"/>
      <c r="BB33" s="62"/>
      <c r="BC33" s="74"/>
      <c r="BF33" s="1171" t="s">
        <v>996</v>
      </c>
    </row>
    <row customHeight="1" ht="14.625" hidden="1">
      <c r="E34" s="794">
        <v>15</v>
      </c>
      <c r="F34" s="920" cm="1" t="str">
        <f t="array" ref="F34:F34">F33</f>
        <v>0</v>
      </c>
      <c r="T34" s="816" cm="1" t="str">
        <f t="array" ref="T34:T34">T33</f>
        <v>false</v>
      </c>
      <c r="AB34" s="486" t="s">
        <v>997</v>
      </c>
      <c r="AC34" s="488" t="s">
        <v>998</v>
      </c>
      <c r="AD34" s="486" t="s">
        <v>986</v>
      </c>
      <c r="AE34" s="62"/>
      <c r="AF34" s="62"/>
      <c r="AG34" s="62"/>
      <c r="AH34" s="62"/>
      <c r="AI34" s="280"/>
      <c r="AJ34" s="1664"/>
      <c r="AK34" s="1664"/>
      <c r="AL34" s="62"/>
      <c r="AM34" s="62"/>
      <c r="AN34" s="62"/>
      <c r="AO34" s="62"/>
      <c r="AP34" s="62"/>
      <c r="AQ34" s="62"/>
      <c r="AR34" s="62"/>
      <c r="AS34" s="280"/>
      <c r="AT34" s="1664"/>
      <c r="AU34" s="1664"/>
      <c r="AV34" s="62"/>
      <c r="AW34" s="62"/>
      <c r="AX34" s="62"/>
      <c r="AY34" s="62"/>
      <c r="AZ34" s="62"/>
      <c r="BA34" s="62"/>
      <c r="BB34" s="62"/>
      <c r="BC34" s="74"/>
      <c r="BF34" s="1171" t="s">
        <v>999</v>
      </c>
    </row>
    <row customHeight="1" ht="14.625" hidden="1">
      <c r="E35" s="794">
        <v>15</v>
      </c>
      <c r="F35" s="920" cm="1" t="str">
        <f t="array" ref="F35:F35">F34</f>
        <v>0</v>
      </c>
      <c r="T35" s="816" cm="1" t="str">
        <f t="array" ref="T35:T35">T34</f>
        <v>false</v>
      </c>
      <c r="AB35" s="486" t="s">
        <v>1000</v>
      </c>
      <c r="AC35" s="488" t="s">
        <v>1001</v>
      </c>
      <c r="AD35" s="486" t="s">
        <v>986</v>
      </c>
      <c r="AE35" s="62"/>
      <c r="AF35" s="62"/>
      <c r="AG35" s="62"/>
      <c r="AH35" s="62"/>
      <c r="AI35" s="280"/>
      <c r="AJ35" s="1664"/>
      <c r="AK35" s="1664"/>
      <c r="AL35" s="62"/>
      <c r="AM35" s="62"/>
      <c r="AN35" s="62"/>
      <c r="AO35" s="62"/>
      <c r="AP35" s="62"/>
      <c r="AQ35" s="62"/>
      <c r="AR35" s="62"/>
      <c r="AS35" s="280"/>
      <c r="AT35" s="1664"/>
      <c r="AU35" s="1664"/>
      <c r="AV35" s="62"/>
      <c r="AW35" s="62"/>
      <c r="AX35" s="62"/>
      <c r="AY35" s="62"/>
      <c r="AZ35" s="62"/>
      <c r="BA35" s="62"/>
      <c r="BB35" s="62"/>
      <c r="BC35" s="74"/>
      <c r="BF35" s="1171" t="s">
        <v>1002</v>
      </c>
    </row>
    <row customHeight="1" ht="14.625" hidden="1">
      <c r="E36" s="794">
        <v>15</v>
      </c>
      <c r="F36" s="920" cm="1" t="str">
        <f t="array" ref="F36:F36">F35</f>
        <v>0</v>
      </c>
      <c r="T36" s="816" cm="1" t="str">
        <f t="array" ref="T36:T36">T35</f>
        <v>false</v>
      </c>
      <c r="AB36" s="486" t="s">
        <v>1003</v>
      </c>
      <c r="AC36" s="488" t="s">
        <v>1004</v>
      </c>
      <c r="AD36" s="486" t="s">
        <v>986</v>
      </c>
      <c r="AE36" s="62"/>
      <c r="AF36" s="62"/>
      <c r="AG36" s="62"/>
      <c r="AH36" s="62"/>
      <c r="AI36" s="280"/>
      <c r="AJ36" s="1664"/>
      <c r="AK36" s="1664"/>
      <c r="AL36" s="62"/>
      <c r="AM36" s="62"/>
      <c r="AN36" s="62"/>
      <c r="AO36" s="62"/>
      <c r="AP36" s="62"/>
      <c r="AQ36" s="62"/>
      <c r="AR36" s="62"/>
      <c r="AS36" s="280"/>
      <c r="AT36" s="1664"/>
      <c r="AU36" s="1664"/>
      <c r="AV36" s="62"/>
      <c r="AW36" s="62"/>
      <c r="AX36" s="62"/>
      <c r="AY36" s="62"/>
      <c r="AZ36" s="62"/>
      <c r="BA36" s="62"/>
      <c r="BB36" s="62"/>
      <c r="BC36" s="74"/>
      <c r="BF36" s="1171" t="s">
        <v>1005</v>
      </c>
    </row>
    <row customHeight="1" ht="14.625" hidden="1">
      <c r="E37" s="794">
        <v>15</v>
      </c>
      <c r="F37" s="920" cm="1" t="str">
        <f t="array" ref="F37:F37">F36</f>
        <v>0</v>
      </c>
      <c r="T37" s="816" cm="1" t="str">
        <f t="array" ref="T37:T37">T36</f>
        <v>false</v>
      </c>
      <c r="AB37" s="486" t="s">
        <v>1006</v>
      </c>
      <c r="AC37" s="488" t="s">
        <v>1007</v>
      </c>
      <c r="AD37" s="486" t="s">
        <v>986</v>
      </c>
      <c r="AE37" s="62"/>
      <c r="AF37" s="62"/>
      <c r="AG37" s="62"/>
      <c r="AH37" s="62"/>
      <c r="AI37" s="280"/>
      <c r="AJ37" s="1664"/>
      <c r="AK37" s="1664"/>
      <c r="AL37" s="62"/>
      <c r="AM37" s="62"/>
      <c r="AN37" s="62"/>
      <c r="AO37" s="62"/>
      <c r="AP37" s="62"/>
      <c r="AQ37" s="62"/>
      <c r="AR37" s="62"/>
      <c r="AS37" s="280"/>
      <c r="AT37" s="1664"/>
      <c r="AU37" s="1664"/>
      <c r="AV37" s="62"/>
      <c r="AW37" s="62"/>
      <c r="AX37" s="62"/>
      <c r="AY37" s="62"/>
      <c r="AZ37" s="62"/>
      <c r="BA37" s="62"/>
      <c r="BB37" s="62"/>
      <c r="BC37" s="74"/>
      <c r="BF37" s="1171" t="s">
        <v>1008</v>
      </c>
    </row>
    <row customHeight="1" ht="14.625" hidden="1">
      <c r="E38" s="794">
        <v>15</v>
      </c>
      <c r="F38" s="920" cm="1" t="str">
        <f t="array" ref="F38:F38">F37</f>
        <v>0</v>
      </c>
      <c r="T38" s="816" cm="1" t="str">
        <f t="array" ref="T38:T38">T37</f>
        <v>false</v>
      </c>
      <c r="AB38" s="486" t="s">
        <v>1009</v>
      </c>
      <c r="AC38" s="487" t="s">
        <v>1010</v>
      </c>
      <c r="AD38" s="486" t="s">
        <v>986</v>
      </c>
      <c r="AE38" s="62"/>
      <c r="AF38" s="62"/>
      <c r="AG38" s="62"/>
      <c r="AH38" s="62"/>
      <c r="AI38" s="280"/>
      <c r="AJ38" s="1664"/>
      <c r="AK38" s="1664"/>
      <c r="AL38" s="62"/>
      <c r="AM38" s="62"/>
      <c r="AN38" s="62"/>
      <c r="AO38" s="62"/>
      <c r="AP38" s="62"/>
      <c r="AQ38" s="62"/>
      <c r="AR38" s="62"/>
      <c r="AS38" s="280"/>
      <c r="AT38" s="1664"/>
      <c r="AU38" s="1664"/>
      <c r="AV38" s="62"/>
      <c r="AW38" s="62"/>
      <c r="AX38" s="62"/>
      <c r="AY38" s="62"/>
      <c r="AZ38" s="62"/>
      <c r="BA38" s="62"/>
      <c r="BB38" s="62"/>
      <c r="BC38" s="74"/>
      <c r="BF38" s="1171" t="s">
        <v>1011</v>
      </c>
    </row>
    <row customHeight="1" ht="14.625" hidden="1">
      <c r="E39" s="794">
        <v>15</v>
      </c>
      <c r="F39" s="920" cm="1" t="str">
        <f t="array" ref="F39:F39">F38</f>
        <v>0</v>
      </c>
      <c r="T39" s="816" cm="1" t="str">
        <f t="array" ref="T39:T39">T38</f>
        <v>false</v>
      </c>
      <c r="AB39" s="486" t="s">
        <v>1012</v>
      </c>
      <c r="AC39" s="487" t="s">
        <v>1013</v>
      </c>
      <c r="AD39" s="486" t="s">
        <v>986</v>
      </c>
      <c r="AE39" s="62"/>
      <c r="AF39" s="62"/>
      <c r="AG39" s="62"/>
      <c r="AH39" s="62"/>
      <c r="AI39" s="280"/>
      <c r="AJ39" s="1664"/>
      <c r="AK39" s="1664"/>
      <c r="AL39" s="62"/>
      <c r="AM39" s="62"/>
      <c r="AN39" s="62"/>
      <c r="AO39" s="62"/>
      <c r="AP39" s="62"/>
      <c r="AQ39" s="62"/>
      <c r="AR39" s="62"/>
      <c r="AS39" s="280"/>
      <c r="AT39" s="1664"/>
      <c r="AU39" s="1664"/>
      <c r="AV39" s="62"/>
      <c r="AW39" s="62"/>
      <c r="AX39" s="62"/>
      <c r="AY39" s="62"/>
      <c r="AZ39" s="62"/>
      <c r="BA39" s="62"/>
      <c r="BB39" s="62"/>
      <c r="BC39" s="74"/>
      <c r="BF39" s="1171" t="s">
        <v>1014</v>
      </c>
    </row>
    <row customHeight="1" ht="14.625" hidden="1">
      <c r="E40" s="794">
        <v>15</v>
      </c>
      <c r="F40" s="920" cm="1" t="str">
        <f t="array" ref="F40:F40">F39</f>
        <v>0</v>
      </c>
      <c r="T40" s="816" cm="1" t="str">
        <f t="array" ref="T40:T40">T39</f>
        <v>false</v>
      </c>
      <c r="AB40" s="486" t="s">
        <v>1015</v>
      </c>
      <c r="AC40" s="487" t="s">
        <v>1016</v>
      </c>
      <c r="AD40" s="486" t="s">
        <v>986</v>
      </c>
      <c r="AE40" s="62"/>
      <c r="AF40" s="62"/>
      <c r="AG40" s="62"/>
      <c r="AH40" s="62"/>
      <c r="AI40" s="280"/>
      <c r="AJ40" s="1664"/>
      <c r="AK40" s="1664"/>
      <c r="AL40" s="62"/>
      <c r="AM40" s="62"/>
      <c r="AN40" s="62"/>
      <c r="AO40" s="62"/>
      <c r="AP40" s="62"/>
      <c r="AQ40" s="62"/>
      <c r="AR40" s="62"/>
      <c r="AS40" s="280"/>
      <c r="AT40" s="1664"/>
      <c r="AU40" s="1664"/>
      <c r="AV40" s="62"/>
      <c r="AW40" s="62"/>
      <c r="AX40" s="62"/>
      <c r="AY40" s="62"/>
      <c r="AZ40" s="62"/>
      <c r="BA40" s="62"/>
      <c r="BB40" s="62"/>
      <c r="BC40" s="74"/>
      <c r="BF40" s="1171" t="s">
        <v>1017</v>
      </c>
    </row>
    <row customHeight="1" ht="14.625" hidden="1">
      <c r="E41" s="794">
        <v>15</v>
      </c>
      <c r="F41" s="920" cm="1" t="str">
        <f t="array" ref="F41:F41">F40</f>
        <v>0</v>
      </c>
      <c r="T41" s="816" cm="1" t="str">
        <f t="array" ref="T41:T41">T40</f>
        <v>false</v>
      </c>
      <c r="AB41" s="486" t="s">
        <v>1018</v>
      </c>
      <c r="AC41" s="487" t="s">
        <v>1019</v>
      </c>
      <c r="AD41" s="486" t="s">
        <v>986</v>
      </c>
      <c r="AE41" s="62"/>
      <c r="AF41" s="62"/>
      <c r="AG41" s="62"/>
      <c r="AH41" s="62"/>
      <c r="AI41" s="280"/>
      <c r="AJ41" s="1664"/>
      <c r="AK41" s="1664"/>
      <c r="AL41" s="62"/>
      <c r="AM41" s="62"/>
      <c r="AN41" s="62"/>
      <c r="AO41" s="62"/>
      <c r="AP41" s="62"/>
      <c r="AQ41" s="62"/>
      <c r="AR41" s="62"/>
      <c r="AS41" s="280"/>
      <c r="AT41" s="1664"/>
      <c r="AU41" s="1664"/>
      <c r="AV41" s="62"/>
      <c r="AW41" s="62"/>
      <c r="AX41" s="62"/>
      <c r="AY41" s="62"/>
      <c r="AZ41" s="62"/>
      <c r="BA41" s="62"/>
      <c r="BB41" s="62"/>
      <c r="BC41" s="74"/>
      <c r="BF41" s="1171" t="s">
        <v>1020</v>
      </c>
    </row>
    <row s="214" customFormat="1" customHeight="1" ht="44.46" hidden="1">
      <c r="E42" s="794">
        <v>45.6</v>
      </c>
      <c r="F42" s="920" cm="1" t="str">
        <f t="array" ref="F42:F42">F41</f>
        <v>0</v>
      </c>
      <c r="T42" s="816" cm="1" t="str">
        <f t="array" ref="T42:T42">T41</f>
        <v>false</v>
      </c>
      <c r="AB42" s="277">
        <v>2</v>
      </c>
      <c r="AC42" s="278" t="s">
        <v>1021</v>
      </c>
      <c r="AD42" s="153" t="s">
        <v>799</v>
      </c>
      <c r="AE42" s="103">
        <f>SUM(AE43:AE46)+SUM(AE52:AE55)</f>
        <v>0</v>
      </c>
      <c r="AF42" s="103">
        <f>SUM(AF43:AF46)+SUM(AF52:AF55)</f>
        <v>0</v>
      </c>
      <c r="AG42" s="103">
        <f>SUM(AG43:AG46)+SUM(AG52:AG55)</f>
        <v>0</v>
      </c>
      <c r="AH42" s="103">
        <f>SUM(AH43:AH46)+SUM(AH52:AH55)</f>
        <v>0</v>
      </c>
      <c r="AI42" s="292">
        <f>SUM(AI43:AI46)+SUM(AI52:AI55)</f>
        <v>0</v>
      </c>
      <c r="AJ42" s="1848">
        <f>SUM(AJ43:AJ46)+SUM(AJ52:AJ55)</f>
        <v>0</v>
      </c>
      <c r="AK42" s="1848">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48">
        <f>SUM(AT43:AT46)+SUM(AT52:AT55)</f>
        <v>0</v>
      </c>
      <c r="AU42" s="1848">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1022</v>
      </c>
    </row>
    <row customHeight="1" ht="14.625" hidden="1">
      <c r="E43" s="794">
        <v>15</v>
      </c>
      <c r="F43" s="920" cm="1" t="str">
        <f t="array" ref="F43:F43">F42</f>
        <v>0</v>
      </c>
      <c r="T43" s="816" cm="1" t="str">
        <f t="array" ref="T43:T43">T42</f>
        <v>false</v>
      </c>
      <c r="AB43" s="486" t="str">
        <f>AB42&amp;".1"</f>
        <v>2.1</v>
      </c>
      <c r="AC43" s="487" t="s">
        <v>985</v>
      </c>
      <c r="AD43" s="486" t="s">
        <v>986</v>
      </c>
      <c r="AE43" s="62"/>
      <c r="AF43" s="62"/>
      <c r="AG43" s="62"/>
      <c r="AH43" s="62"/>
      <c r="AI43" s="280"/>
      <c r="AJ43" s="1664"/>
      <c r="AK43" s="1664"/>
      <c r="AL43" s="62"/>
      <c r="AM43" s="62"/>
      <c r="AN43" s="62"/>
      <c r="AO43" s="62"/>
      <c r="AP43" s="62"/>
      <c r="AQ43" s="62"/>
      <c r="AR43" s="62"/>
      <c r="AS43" s="280"/>
      <c r="AT43" s="1664"/>
      <c r="AU43" s="1664"/>
      <c r="AV43" s="62"/>
      <c r="AW43" s="62"/>
      <c r="AX43" s="62"/>
      <c r="AY43" s="62"/>
      <c r="AZ43" s="62"/>
      <c r="BA43" s="62"/>
      <c r="BB43" s="62"/>
      <c r="BC43" s="74"/>
      <c r="BF43" s="1171" t="s">
        <v>1023</v>
      </c>
    </row>
    <row customHeight="1" ht="14.625" hidden="1">
      <c r="E44" s="794">
        <v>15</v>
      </c>
      <c r="F44" s="920" cm="1" t="str">
        <f t="array" ref="F44:F44">F43</f>
        <v>0</v>
      </c>
      <c r="T44" s="816" cm="1" t="str">
        <f t="array" ref="T44:T44">T43</f>
        <v>false</v>
      </c>
      <c r="AB44" s="486" t="str">
        <f>AB42&amp;".2"</f>
        <v>2.2</v>
      </c>
      <c r="AC44" s="487" t="s">
        <v>988</v>
      </c>
      <c r="AD44" s="486" t="s">
        <v>986</v>
      </c>
      <c r="AE44" s="62"/>
      <c r="AF44" s="62"/>
      <c r="AG44" s="62"/>
      <c r="AH44" s="62"/>
      <c r="AI44" s="280"/>
      <c r="AJ44" s="1664"/>
      <c r="AK44" s="1664"/>
      <c r="AL44" s="62"/>
      <c r="AM44" s="62"/>
      <c r="AN44" s="62"/>
      <c r="AO44" s="62"/>
      <c r="AP44" s="62"/>
      <c r="AQ44" s="62"/>
      <c r="AR44" s="62"/>
      <c r="AS44" s="280"/>
      <c r="AT44" s="1664"/>
      <c r="AU44" s="1664"/>
      <c r="AV44" s="62"/>
      <c r="AW44" s="62"/>
      <c r="AX44" s="62"/>
      <c r="AY44" s="62"/>
      <c r="AZ44" s="62"/>
      <c r="BA44" s="62"/>
      <c r="BB44" s="62"/>
      <c r="BC44" s="74"/>
      <c r="BF44" s="1171" t="s">
        <v>1024</v>
      </c>
    </row>
    <row customHeight="1" ht="14.625" hidden="1">
      <c r="E45" s="794">
        <v>15</v>
      </c>
      <c r="F45" s="920" cm="1" t="str">
        <f t="array" ref="F45:F45">F44</f>
        <v>0</v>
      </c>
      <c r="T45" s="816" cm="1" t="str">
        <f t="array" ref="T45:T45">T44</f>
        <v>false</v>
      </c>
      <c r="AB45" s="486" t="str">
        <f>AB42&amp;".3"</f>
        <v>2.3</v>
      </c>
      <c r="AC45" s="487" t="s">
        <v>990</v>
      </c>
      <c r="AD45" s="486" t="s">
        <v>986</v>
      </c>
      <c r="AE45" s="62"/>
      <c r="AF45" s="62"/>
      <c r="AG45" s="62"/>
      <c r="AH45" s="62"/>
      <c r="AI45" s="280"/>
      <c r="AJ45" s="1664"/>
      <c r="AK45" s="1664"/>
      <c r="AL45" s="62"/>
      <c r="AM45" s="62"/>
      <c r="AN45" s="62"/>
      <c r="AO45" s="62"/>
      <c r="AP45" s="62"/>
      <c r="AQ45" s="62"/>
      <c r="AR45" s="62"/>
      <c r="AS45" s="280"/>
      <c r="AT45" s="1664"/>
      <c r="AU45" s="1664"/>
      <c r="AV45" s="62"/>
      <c r="AW45" s="62"/>
      <c r="AX45" s="62"/>
      <c r="AY45" s="62"/>
      <c r="AZ45" s="62"/>
      <c r="BA45" s="62"/>
      <c r="BB45" s="62"/>
      <c r="BC45" s="74"/>
      <c r="BF45" s="1171" t="s">
        <v>1025</v>
      </c>
    </row>
    <row customHeight="1" ht="14.625" hidden="1">
      <c r="E46" s="794">
        <v>15</v>
      </c>
      <c r="F46" s="920" cm="1" t="str">
        <f t="array" ref="F46:F46">F45</f>
        <v>0</v>
      </c>
      <c r="T46" s="816" cm="1" t="str">
        <f t="array" ref="T46:T46">T45</f>
        <v>false</v>
      </c>
      <c r="AB46" s="486" t="str">
        <f>AB42&amp;".4"</f>
        <v>2.4</v>
      </c>
      <c r="AC46" s="487" t="s">
        <v>992</v>
      </c>
      <c r="AD46" s="486" t="s">
        <v>986</v>
      </c>
      <c r="AE46" s="86">
        <f>SUM(AE47:AE51)</f>
        <v>0</v>
      </c>
      <c r="AF46" s="86">
        <f>SUM(AF47:AF51)</f>
        <v>0</v>
      </c>
      <c r="AG46" s="86">
        <f>SUM(AG47:AG51)</f>
        <v>0</v>
      </c>
      <c r="AH46" s="86">
        <f>SUM(AH47:AH51)</f>
        <v>0</v>
      </c>
      <c r="AI46" s="481">
        <f>SUM(AI47:AI51)</f>
        <v>0</v>
      </c>
      <c r="AJ46" s="1787">
        <f>SUM(AJ47:AJ51)</f>
        <v>0</v>
      </c>
      <c r="AK46" s="1787">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87">
        <f>SUM(AT47:AT51)</f>
        <v>0</v>
      </c>
      <c r="AU46" s="1787">
        <f>SUM(AU47:AU51)</f>
        <v>0</v>
      </c>
      <c r="AV46" s="86">
        <f>SUM(AV47:AV51)</f>
        <v>0</v>
      </c>
      <c r="AW46" s="86">
        <f>SUM(AW47:AW51)</f>
        <v>0</v>
      </c>
      <c r="AX46" s="86">
        <f>SUM(AX47:AX51)</f>
        <v>0</v>
      </c>
      <c r="AY46" s="86">
        <f>SUM(AY47:AY51)</f>
        <v>0</v>
      </c>
      <c r="AZ46" s="86">
        <f>SUM(AZ47:AZ51)</f>
        <v>0</v>
      </c>
      <c r="BA46" s="86">
        <f>SUM(BA47:BA51)</f>
        <v>0</v>
      </c>
      <c r="BB46" s="86">
        <f>SUM(BB47:BB51)</f>
        <v>0</v>
      </c>
      <c r="BC46" s="74"/>
      <c r="BF46" s="1171" t="s">
        <v>1026</v>
      </c>
    </row>
    <row customHeight="1" ht="14.625" hidden="1">
      <c r="E47" s="794">
        <v>15</v>
      </c>
      <c r="F47" s="920" cm="1" t="str">
        <f t="array" ref="F47:F47">F46</f>
        <v>0</v>
      </c>
      <c r="T47" s="816" cm="1" t="str">
        <f t="array" ref="T47:T47">T46</f>
        <v>false</v>
      </c>
      <c r="AB47" s="486" t="str">
        <f>AB46&amp;".1"</f>
        <v>2.4.1</v>
      </c>
      <c r="AC47" s="488" t="s">
        <v>995</v>
      </c>
      <c r="AD47" s="486" t="s">
        <v>986</v>
      </c>
      <c r="AE47" s="62"/>
      <c r="AF47" s="62"/>
      <c r="AG47" s="62"/>
      <c r="AH47" s="62"/>
      <c r="AI47" s="280"/>
      <c r="AJ47" s="1664"/>
      <c r="AK47" s="1664"/>
      <c r="AL47" s="62"/>
      <c r="AM47" s="62"/>
      <c r="AN47" s="62"/>
      <c r="AO47" s="62"/>
      <c r="AP47" s="62"/>
      <c r="AQ47" s="62"/>
      <c r="AR47" s="62"/>
      <c r="AS47" s="280"/>
      <c r="AT47" s="1664"/>
      <c r="AU47" s="1664"/>
      <c r="AV47" s="62"/>
      <c r="AW47" s="62"/>
      <c r="AX47" s="62"/>
      <c r="AY47" s="62"/>
      <c r="AZ47" s="62"/>
      <c r="BA47" s="62"/>
      <c r="BB47" s="62"/>
      <c r="BC47" s="74"/>
      <c r="BF47" s="1171" t="s">
        <v>1027</v>
      </c>
    </row>
    <row customHeight="1" ht="14.625" hidden="1">
      <c r="E48" s="794">
        <v>15</v>
      </c>
      <c r="F48" s="920" cm="1" t="str">
        <f t="array" ref="F48:F48">F47</f>
        <v>0</v>
      </c>
      <c r="T48" s="816" cm="1" t="str">
        <f t="array" ref="T48:T48">T47</f>
        <v>false</v>
      </c>
      <c r="AB48" s="486" t="str">
        <f>AB46&amp;".2"</f>
        <v>2.4.2</v>
      </c>
      <c r="AC48" s="488" t="s">
        <v>998</v>
      </c>
      <c r="AD48" s="486" t="s">
        <v>986</v>
      </c>
      <c r="AE48" s="62"/>
      <c r="AF48" s="62"/>
      <c r="AG48" s="62"/>
      <c r="AH48" s="62"/>
      <c r="AI48" s="280"/>
      <c r="AJ48" s="1664"/>
      <c r="AK48" s="1664"/>
      <c r="AL48" s="62"/>
      <c r="AM48" s="62"/>
      <c r="AN48" s="62"/>
      <c r="AO48" s="62"/>
      <c r="AP48" s="62"/>
      <c r="AQ48" s="62"/>
      <c r="AR48" s="62"/>
      <c r="AS48" s="280"/>
      <c r="AT48" s="1664"/>
      <c r="AU48" s="1664"/>
      <c r="AV48" s="62"/>
      <c r="AW48" s="62"/>
      <c r="AX48" s="62"/>
      <c r="AY48" s="62"/>
      <c r="AZ48" s="62"/>
      <c r="BA48" s="62"/>
      <c r="BB48" s="62"/>
      <c r="BC48" s="74"/>
      <c r="BF48" s="1171" t="s">
        <v>1028</v>
      </c>
    </row>
    <row customHeight="1" ht="14.625" hidden="1">
      <c r="E49" s="794">
        <v>15</v>
      </c>
      <c r="F49" s="920" cm="1" t="str">
        <f t="array" ref="F49:F49">F48</f>
        <v>0</v>
      </c>
      <c r="T49" s="816" cm="1" t="str">
        <f t="array" ref="T49:T49">T48</f>
        <v>false</v>
      </c>
      <c r="AB49" s="486" t="str">
        <f>AB46&amp;".3"</f>
        <v>2.4.3</v>
      </c>
      <c r="AC49" s="488" t="s">
        <v>1001</v>
      </c>
      <c r="AD49" s="486" t="s">
        <v>986</v>
      </c>
      <c r="AE49" s="62"/>
      <c r="AF49" s="62"/>
      <c r="AG49" s="62"/>
      <c r="AH49" s="62"/>
      <c r="AI49" s="280"/>
      <c r="AJ49" s="1664"/>
      <c r="AK49" s="1664"/>
      <c r="AL49" s="62"/>
      <c r="AM49" s="62"/>
      <c r="AN49" s="62"/>
      <c r="AO49" s="62"/>
      <c r="AP49" s="62"/>
      <c r="AQ49" s="62"/>
      <c r="AR49" s="62"/>
      <c r="AS49" s="280"/>
      <c r="AT49" s="1664"/>
      <c r="AU49" s="1664"/>
      <c r="AV49" s="62"/>
      <c r="AW49" s="62"/>
      <c r="AX49" s="62"/>
      <c r="AY49" s="62"/>
      <c r="AZ49" s="62"/>
      <c r="BA49" s="62"/>
      <c r="BB49" s="62"/>
      <c r="BC49" s="74"/>
      <c r="BF49" s="1171" t="s">
        <v>1029</v>
      </c>
    </row>
    <row customHeight="1" ht="14.625" hidden="1">
      <c r="E50" s="794">
        <v>15</v>
      </c>
      <c r="F50" s="920" cm="1" t="str">
        <f t="array" ref="F50:F50">F49</f>
        <v>0</v>
      </c>
      <c r="T50" s="816" cm="1" t="str">
        <f t="array" ref="T50:T50">T49</f>
        <v>false</v>
      </c>
      <c r="AB50" s="486" t="str">
        <f>AB46&amp;".4"</f>
        <v>2.4.4</v>
      </c>
      <c r="AC50" s="488" t="s">
        <v>1004</v>
      </c>
      <c r="AD50" s="486" t="s">
        <v>986</v>
      </c>
      <c r="AE50" s="62"/>
      <c r="AF50" s="62"/>
      <c r="AG50" s="62"/>
      <c r="AH50" s="62"/>
      <c r="AI50" s="280"/>
      <c r="AJ50" s="1664"/>
      <c r="AK50" s="1664"/>
      <c r="AL50" s="62"/>
      <c r="AM50" s="62"/>
      <c r="AN50" s="62"/>
      <c r="AO50" s="62"/>
      <c r="AP50" s="62"/>
      <c r="AQ50" s="62"/>
      <c r="AR50" s="62"/>
      <c r="AS50" s="280"/>
      <c r="AT50" s="1664"/>
      <c r="AU50" s="1664"/>
      <c r="AV50" s="62"/>
      <c r="AW50" s="62"/>
      <c r="AX50" s="62"/>
      <c r="AY50" s="62"/>
      <c r="AZ50" s="62"/>
      <c r="BA50" s="62"/>
      <c r="BB50" s="62"/>
      <c r="BC50" s="74"/>
      <c r="BF50" s="1171" t="s">
        <v>1030</v>
      </c>
    </row>
    <row customHeight="1" ht="14.625" hidden="1">
      <c r="E51" s="794">
        <v>15</v>
      </c>
      <c r="F51" s="920" cm="1" t="str">
        <f t="array" ref="F51:F51">F50</f>
        <v>0</v>
      </c>
      <c r="T51" s="816" cm="1" t="str">
        <f t="array" ref="T51:T51">T50</f>
        <v>false</v>
      </c>
      <c r="AB51" s="486" t="str">
        <f>AB46&amp;".5"</f>
        <v>2.4.5</v>
      </c>
      <c r="AC51" s="488" t="s">
        <v>1007</v>
      </c>
      <c r="AD51" s="486" t="s">
        <v>986</v>
      </c>
      <c r="AE51" s="62"/>
      <c r="AF51" s="62"/>
      <c r="AG51" s="62"/>
      <c r="AH51" s="62"/>
      <c r="AI51" s="280"/>
      <c r="AJ51" s="1664"/>
      <c r="AK51" s="1664"/>
      <c r="AL51" s="62"/>
      <c r="AM51" s="62"/>
      <c r="AN51" s="62"/>
      <c r="AO51" s="62"/>
      <c r="AP51" s="62"/>
      <c r="AQ51" s="62"/>
      <c r="AR51" s="62"/>
      <c r="AS51" s="280"/>
      <c r="AT51" s="1664"/>
      <c r="AU51" s="1664"/>
      <c r="AV51" s="62"/>
      <c r="AW51" s="62"/>
      <c r="AX51" s="62"/>
      <c r="AY51" s="62"/>
      <c r="AZ51" s="62"/>
      <c r="BA51" s="62"/>
      <c r="BB51" s="62"/>
      <c r="BC51" s="74"/>
      <c r="BF51" s="1171" t="s">
        <v>1031</v>
      </c>
    </row>
    <row customHeight="1" ht="14.625" hidden="1">
      <c r="E52" s="794">
        <v>15</v>
      </c>
      <c r="F52" s="920" cm="1" t="str">
        <f t="array" ref="F52:F52">F51</f>
        <v>0</v>
      </c>
      <c r="T52" s="816" cm="1" t="str">
        <f t="array" ref="T52:T52">T51</f>
        <v>false</v>
      </c>
      <c r="AB52" s="486" t="str">
        <f>AB42&amp;".5"</f>
        <v>2.5</v>
      </c>
      <c r="AC52" s="487" t="s">
        <v>1010</v>
      </c>
      <c r="AD52" s="486" t="s">
        <v>986</v>
      </c>
      <c r="AE52" s="62"/>
      <c r="AF52" s="62"/>
      <c r="AG52" s="62"/>
      <c r="AH52" s="62"/>
      <c r="AI52" s="280"/>
      <c r="AJ52" s="1664"/>
      <c r="AK52" s="1664"/>
      <c r="AL52" s="62"/>
      <c r="AM52" s="62"/>
      <c r="AN52" s="62"/>
      <c r="AO52" s="62"/>
      <c r="AP52" s="62"/>
      <c r="AQ52" s="62"/>
      <c r="AR52" s="62"/>
      <c r="AS52" s="280"/>
      <c r="AT52" s="1664"/>
      <c r="AU52" s="1664"/>
      <c r="AV52" s="62"/>
      <c r="AW52" s="62"/>
      <c r="AX52" s="62"/>
      <c r="AY52" s="62"/>
      <c r="AZ52" s="62"/>
      <c r="BA52" s="62"/>
      <c r="BB52" s="62"/>
      <c r="BC52" s="74"/>
      <c r="BF52" s="1171" t="s">
        <v>1032</v>
      </c>
    </row>
    <row customHeight="1" ht="14.625" hidden="1">
      <c r="E53" s="794">
        <v>15</v>
      </c>
      <c r="F53" s="920" cm="1" t="str">
        <f t="array" ref="F53:F53">F52</f>
        <v>0</v>
      </c>
      <c r="T53" s="816" cm="1" t="str">
        <f t="array" ref="T53:T53">T52</f>
        <v>false</v>
      </c>
      <c r="AB53" s="486" t="str">
        <f>AB42&amp;".6"</f>
        <v>2.6</v>
      </c>
      <c r="AC53" s="487" t="s">
        <v>1013</v>
      </c>
      <c r="AD53" s="486" t="s">
        <v>986</v>
      </c>
      <c r="AE53" s="62"/>
      <c r="AF53" s="62"/>
      <c r="AG53" s="62"/>
      <c r="AH53" s="62"/>
      <c r="AI53" s="280"/>
      <c r="AJ53" s="1664"/>
      <c r="AK53" s="1664"/>
      <c r="AL53" s="62"/>
      <c r="AM53" s="62"/>
      <c r="AN53" s="62"/>
      <c r="AO53" s="62"/>
      <c r="AP53" s="62"/>
      <c r="AQ53" s="62"/>
      <c r="AR53" s="62"/>
      <c r="AS53" s="280"/>
      <c r="AT53" s="1664"/>
      <c r="AU53" s="1664"/>
      <c r="AV53" s="62"/>
      <c r="AW53" s="62"/>
      <c r="AX53" s="62"/>
      <c r="AY53" s="62"/>
      <c r="AZ53" s="62"/>
      <c r="BA53" s="62"/>
      <c r="BB53" s="62"/>
      <c r="BC53" s="74"/>
      <c r="BF53" s="1171" t="s">
        <v>1033</v>
      </c>
    </row>
    <row customHeight="1" ht="14.625" hidden="1">
      <c r="E54" s="794">
        <v>15</v>
      </c>
      <c r="F54" s="920" cm="1" t="str">
        <f t="array" ref="F54:F54">F53</f>
        <v>0</v>
      </c>
      <c r="T54" s="816" cm="1" t="str">
        <f t="array" ref="T54:T54">T53</f>
        <v>false</v>
      </c>
      <c r="AB54" s="486" t="str">
        <f>AB42&amp;".7"</f>
        <v>2.7</v>
      </c>
      <c r="AC54" s="487" t="s">
        <v>1016</v>
      </c>
      <c r="AD54" s="486" t="s">
        <v>986</v>
      </c>
      <c r="AE54" s="62"/>
      <c r="AF54" s="62"/>
      <c r="AG54" s="62"/>
      <c r="AH54" s="62"/>
      <c r="AI54" s="280"/>
      <c r="AJ54" s="1664"/>
      <c r="AK54" s="1664"/>
      <c r="AL54" s="62"/>
      <c r="AM54" s="62"/>
      <c r="AN54" s="62"/>
      <c r="AO54" s="62"/>
      <c r="AP54" s="62"/>
      <c r="AQ54" s="62"/>
      <c r="AR54" s="62"/>
      <c r="AS54" s="280"/>
      <c r="AT54" s="1664"/>
      <c r="AU54" s="1664"/>
      <c r="AV54" s="62"/>
      <c r="AW54" s="62"/>
      <c r="AX54" s="62"/>
      <c r="AY54" s="62"/>
      <c r="AZ54" s="62"/>
      <c r="BA54" s="62"/>
      <c r="BB54" s="62"/>
      <c r="BC54" s="74"/>
      <c r="BF54" s="1171" t="s">
        <v>1034</v>
      </c>
    </row>
    <row customHeight="1" ht="14.625" hidden="1">
      <c r="E55" s="794">
        <v>15</v>
      </c>
      <c r="F55" s="920" cm="1" t="str">
        <f t="array" ref="F55:F55">F54</f>
        <v>0</v>
      </c>
      <c r="T55" s="816" cm="1" t="str">
        <f t="array" ref="T55:T55">T54</f>
        <v>false</v>
      </c>
      <c r="AB55" s="486" t="str">
        <f>AB42&amp;".8"</f>
        <v>2.8</v>
      </c>
      <c r="AC55" s="487" t="s">
        <v>1019</v>
      </c>
      <c r="AD55" s="486" t="s">
        <v>986</v>
      </c>
      <c r="AE55" s="62"/>
      <c r="AF55" s="62"/>
      <c r="AG55" s="62"/>
      <c r="AH55" s="62"/>
      <c r="AI55" s="280"/>
      <c r="AJ55" s="1664"/>
      <c r="AK55" s="1664"/>
      <c r="AL55" s="62"/>
      <c r="AM55" s="62"/>
      <c r="AN55" s="62"/>
      <c r="AO55" s="62"/>
      <c r="AP55" s="62"/>
      <c r="AQ55" s="62"/>
      <c r="AR55" s="62"/>
      <c r="AS55" s="280"/>
      <c r="AT55" s="1664"/>
      <c r="AU55" s="1664"/>
      <c r="AV55" s="62"/>
      <c r="AW55" s="62"/>
      <c r="AX55" s="62"/>
      <c r="AY55" s="62"/>
      <c r="AZ55" s="62"/>
      <c r="BA55" s="62"/>
      <c r="BB55" s="62"/>
      <c r="BC55" s="74"/>
      <c r="BF55" s="1171" t="s">
        <v>1035</v>
      </c>
    </row>
    <row s="214" customFormat="1" customHeight="1" ht="14.625" hidden="1">
      <c r="E56" s="794">
        <v>15</v>
      </c>
      <c r="F56" s="920" cm="1" t="str">
        <f t="array" ref="F56:F56">F55</f>
        <v>0</v>
      </c>
      <c r="T56" s="816" cm="1" t="str">
        <f t="array" ref="T56:T56">T55</f>
        <v>false</v>
      </c>
      <c r="AB56" s="277">
        <v>3</v>
      </c>
      <c r="AC56" s="278" t="s">
        <v>1036</v>
      </c>
      <c r="AD56" s="153" t="s">
        <v>799</v>
      </c>
      <c r="AE56" s="103">
        <f>SUM(AE57:AE60)+SUM(AE66:AE69)</f>
        <v>0</v>
      </c>
      <c r="AF56" s="103">
        <f>SUM(AF57:AF60)+SUM(AF66:AF69)</f>
        <v>0</v>
      </c>
      <c r="AG56" s="103">
        <f>SUM(AG57:AG60)+SUM(AG66:AG69)</f>
        <v>0</v>
      </c>
      <c r="AH56" s="103">
        <f>SUM(AH57:AH60)+SUM(AH66:AH69)</f>
        <v>0</v>
      </c>
      <c r="AI56" s="292">
        <f>SUM(AI57:AI60)+SUM(AI66:AI69)</f>
        <v>0</v>
      </c>
      <c r="AJ56" s="1848">
        <f>SUM(AJ57:AJ60)+SUM(AJ66:AJ69)</f>
        <v>0</v>
      </c>
      <c r="AK56" s="1848">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48">
        <f>SUM(AT57:AT60)+SUM(AT66:AT69)</f>
        <v>0</v>
      </c>
      <c r="AU56" s="1848">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1037</v>
      </c>
    </row>
    <row customHeight="1" ht="14.625" hidden="1">
      <c r="E57" s="794">
        <v>15</v>
      </c>
      <c r="F57" s="920" cm="1" t="str">
        <f t="array" ref="F57:F57">F56</f>
        <v>0</v>
      </c>
      <c r="T57" s="816" cm="1" t="str">
        <f t="array" ref="T57:T57">T56</f>
        <v>false</v>
      </c>
      <c r="AB57" s="486" t="str">
        <f>AB56&amp;".1"</f>
        <v>3.1</v>
      </c>
      <c r="AC57" s="487" t="s">
        <v>985</v>
      </c>
      <c r="AD57" s="486" t="s">
        <v>986</v>
      </c>
      <c r="AE57" s="62"/>
      <c r="AF57" s="62"/>
      <c r="AG57" s="62"/>
      <c r="AH57" s="62"/>
      <c r="AI57" s="280"/>
      <c r="AJ57" s="1664"/>
      <c r="AK57" s="1664"/>
      <c r="AL57" s="62"/>
      <c r="AM57" s="62"/>
      <c r="AN57" s="62"/>
      <c r="AO57" s="62"/>
      <c r="AP57" s="62"/>
      <c r="AQ57" s="62"/>
      <c r="AR57" s="62"/>
      <c r="AS57" s="280"/>
      <c r="AT57" s="1664"/>
      <c r="AU57" s="1664"/>
      <c r="AV57" s="62"/>
      <c r="AW57" s="62"/>
      <c r="AX57" s="62"/>
      <c r="AY57" s="62"/>
      <c r="AZ57" s="62"/>
      <c r="BA57" s="62"/>
      <c r="BB57" s="62"/>
      <c r="BC57" s="74"/>
      <c r="BF57" s="1171" t="s">
        <v>1038</v>
      </c>
    </row>
    <row customHeight="1" ht="14.625" hidden="1">
      <c r="E58" s="794">
        <v>15</v>
      </c>
      <c r="F58" s="920" cm="1" t="str">
        <f t="array" ref="F58:F58">F57</f>
        <v>0</v>
      </c>
      <c r="T58" s="816" cm="1" t="str">
        <f t="array" ref="T58:T58">T57</f>
        <v>false</v>
      </c>
      <c r="AB58" s="486" t="str">
        <f>AB56&amp;".2"</f>
        <v>3.2</v>
      </c>
      <c r="AC58" s="487" t="s">
        <v>988</v>
      </c>
      <c r="AD58" s="486" t="s">
        <v>986</v>
      </c>
      <c r="AE58" s="62"/>
      <c r="AF58" s="62"/>
      <c r="AG58" s="62"/>
      <c r="AH58" s="62"/>
      <c r="AI58" s="280"/>
      <c r="AJ58" s="1664"/>
      <c r="AK58" s="1664"/>
      <c r="AL58" s="62"/>
      <c r="AM58" s="62"/>
      <c r="AN58" s="62"/>
      <c r="AO58" s="62"/>
      <c r="AP58" s="62"/>
      <c r="AQ58" s="62"/>
      <c r="AR58" s="62"/>
      <c r="AS58" s="280"/>
      <c r="AT58" s="1664"/>
      <c r="AU58" s="1664"/>
      <c r="AV58" s="62"/>
      <c r="AW58" s="62"/>
      <c r="AX58" s="62"/>
      <c r="AY58" s="62"/>
      <c r="AZ58" s="62"/>
      <c r="BA58" s="62"/>
      <c r="BB58" s="62"/>
      <c r="BC58" s="74"/>
      <c r="BF58" s="1171" t="s">
        <v>1039</v>
      </c>
    </row>
    <row customHeight="1" ht="14.625" hidden="1">
      <c r="E59" s="794">
        <v>15</v>
      </c>
      <c r="F59" s="920" cm="1" t="str">
        <f t="array" ref="F59:F59">F58</f>
        <v>0</v>
      </c>
      <c r="T59" s="816" cm="1" t="str">
        <f t="array" ref="T59:T59">T58</f>
        <v>false</v>
      </c>
      <c r="AB59" s="486" t="str">
        <f>AB56&amp;".3"</f>
        <v>3.3</v>
      </c>
      <c r="AC59" s="487" t="s">
        <v>990</v>
      </c>
      <c r="AD59" s="486" t="s">
        <v>986</v>
      </c>
      <c r="AE59" s="62"/>
      <c r="AF59" s="62"/>
      <c r="AG59" s="62"/>
      <c r="AH59" s="62"/>
      <c r="AI59" s="280"/>
      <c r="AJ59" s="1664"/>
      <c r="AK59" s="1664"/>
      <c r="AL59" s="62"/>
      <c r="AM59" s="62"/>
      <c r="AN59" s="62"/>
      <c r="AO59" s="62"/>
      <c r="AP59" s="62"/>
      <c r="AQ59" s="62"/>
      <c r="AR59" s="62"/>
      <c r="AS59" s="280"/>
      <c r="AT59" s="1664"/>
      <c r="AU59" s="1664"/>
      <c r="AV59" s="62"/>
      <c r="AW59" s="62"/>
      <c r="AX59" s="62"/>
      <c r="AY59" s="62"/>
      <c r="AZ59" s="62"/>
      <c r="BA59" s="62"/>
      <c r="BB59" s="62"/>
      <c r="BC59" s="74"/>
      <c r="BF59" s="1171" t="s">
        <v>1040</v>
      </c>
    </row>
    <row customHeight="1" ht="14.625" hidden="1">
      <c r="E60" s="794">
        <v>15</v>
      </c>
      <c r="F60" s="920" cm="1" t="str">
        <f t="array" ref="F60:F60">F59</f>
        <v>0</v>
      </c>
      <c r="T60" s="816" cm="1" t="str">
        <f t="array" ref="T60:T60">T59</f>
        <v>false</v>
      </c>
      <c r="AB60" s="486" t="str">
        <f>AB56&amp;".4"</f>
        <v>3.4</v>
      </c>
      <c r="AC60" s="487" t="s">
        <v>992</v>
      </c>
      <c r="AD60" s="486" t="s">
        <v>986</v>
      </c>
      <c r="AE60" s="86">
        <f>SUM(AE61:AE65)</f>
        <v>0</v>
      </c>
      <c r="AF60" s="86">
        <f>SUM(AF61:AF65)</f>
        <v>0</v>
      </c>
      <c r="AG60" s="86">
        <f>SUM(AG61:AG65)</f>
        <v>0</v>
      </c>
      <c r="AH60" s="86">
        <f>SUM(AH61:AH65)</f>
        <v>0</v>
      </c>
      <c r="AI60" s="481">
        <f>SUM(AI61:AI65)</f>
        <v>0</v>
      </c>
      <c r="AJ60" s="1787">
        <f>SUM(AJ61:AJ65)</f>
        <v>0</v>
      </c>
      <c r="AK60" s="1787">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87">
        <f>SUM(AT61:AT65)</f>
        <v>0</v>
      </c>
      <c r="AU60" s="1787">
        <f>SUM(AU61:AU65)</f>
        <v>0</v>
      </c>
      <c r="AV60" s="86">
        <f>SUM(AV61:AV65)</f>
        <v>0</v>
      </c>
      <c r="AW60" s="86">
        <f>SUM(AW61:AW65)</f>
        <v>0</v>
      </c>
      <c r="AX60" s="86">
        <f>SUM(AX61:AX65)</f>
        <v>0</v>
      </c>
      <c r="AY60" s="86">
        <f>SUM(AY61:AY65)</f>
        <v>0</v>
      </c>
      <c r="AZ60" s="86">
        <f>SUM(AZ61:AZ65)</f>
        <v>0</v>
      </c>
      <c r="BA60" s="86">
        <f>SUM(BA61:BA65)</f>
        <v>0</v>
      </c>
      <c r="BB60" s="86">
        <f>SUM(BB61:BB65)</f>
        <v>0</v>
      </c>
      <c r="BC60" s="74"/>
      <c r="BF60" s="1171" t="s">
        <v>1041</v>
      </c>
    </row>
    <row customHeight="1" ht="14.625" hidden="1">
      <c r="E61" s="794">
        <v>15</v>
      </c>
      <c r="F61" s="920" cm="1" t="str">
        <f t="array" ref="F61:F61">F60</f>
        <v>0</v>
      </c>
      <c r="T61" s="816" cm="1" t="str">
        <f t="array" ref="T61:T61">T60</f>
        <v>false</v>
      </c>
      <c r="AB61" s="486" t="str">
        <f>AB60&amp;".1"</f>
        <v>3.4.1</v>
      </c>
      <c r="AC61" s="488" t="s">
        <v>995</v>
      </c>
      <c r="AD61" s="486" t="s">
        <v>986</v>
      </c>
      <c r="AE61" s="62"/>
      <c r="AF61" s="62"/>
      <c r="AG61" s="62"/>
      <c r="AH61" s="62"/>
      <c r="AI61" s="280"/>
      <c r="AJ61" s="1664"/>
      <c r="AK61" s="1664"/>
      <c r="AL61" s="62"/>
      <c r="AM61" s="62"/>
      <c r="AN61" s="62"/>
      <c r="AO61" s="62"/>
      <c r="AP61" s="62"/>
      <c r="AQ61" s="62"/>
      <c r="AR61" s="62"/>
      <c r="AS61" s="280"/>
      <c r="AT61" s="1664"/>
      <c r="AU61" s="1664"/>
      <c r="AV61" s="62"/>
      <c r="AW61" s="62"/>
      <c r="AX61" s="62"/>
      <c r="AY61" s="62"/>
      <c r="AZ61" s="62"/>
      <c r="BA61" s="62"/>
      <c r="BB61" s="62"/>
      <c r="BC61" s="74"/>
      <c r="BF61" s="1171" t="s">
        <v>1042</v>
      </c>
    </row>
    <row customHeight="1" ht="14.625" hidden="1">
      <c r="E62" s="794">
        <v>15</v>
      </c>
      <c r="F62" s="920" cm="1" t="str">
        <f t="array" ref="F62:F62">F61</f>
        <v>0</v>
      </c>
      <c r="T62" s="816" cm="1" t="str">
        <f t="array" ref="T62:T62">T61</f>
        <v>false</v>
      </c>
      <c r="AB62" s="486" t="str">
        <f>AB60&amp;".2"</f>
        <v>3.4.2</v>
      </c>
      <c r="AC62" s="488" t="s">
        <v>998</v>
      </c>
      <c r="AD62" s="486" t="s">
        <v>986</v>
      </c>
      <c r="AE62" s="62"/>
      <c r="AF62" s="62"/>
      <c r="AG62" s="62"/>
      <c r="AH62" s="62"/>
      <c r="AI62" s="280"/>
      <c r="AJ62" s="1664"/>
      <c r="AK62" s="1664"/>
      <c r="AL62" s="62"/>
      <c r="AM62" s="62"/>
      <c r="AN62" s="62"/>
      <c r="AO62" s="62"/>
      <c r="AP62" s="62"/>
      <c r="AQ62" s="62"/>
      <c r="AR62" s="62"/>
      <c r="AS62" s="280"/>
      <c r="AT62" s="1664"/>
      <c r="AU62" s="1664"/>
      <c r="AV62" s="62"/>
      <c r="AW62" s="62"/>
      <c r="AX62" s="62"/>
      <c r="AY62" s="62"/>
      <c r="AZ62" s="62"/>
      <c r="BA62" s="62"/>
      <c r="BB62" s="62"/>
      <c r="BC62" s="74"/>
      <c r="BF62" s="1171" t="s">
        <v>1043</v>
      </c>
    </row>
    <row customHeight="1" ht="14.625" hidden="1">
      <c r="E63" s="794">
        <v>15</v>
      </c>
      <c r="F63" s="920" cm="1" t="str">
        <f t="array" ref="F63:F63">F62</f>
        <v>0</v>
      </c>
      <c r="T63" s="816" cm="1" t="str">
        <f t="array" ref="T63:T63">T62</f>
        <v>false</v>
      </c>
      <c r="AB63" s="486" t="str">
        <f>AB60&amp;".3"</f>
        <v>3.4.3</v>
      </c>
      <c r="AC63" s="488" t="s">
        <v>1001</v>
      </c>
      <c r="AD63" s="486" t="s">
        <v>986</v>
      </c>
      <c r="AE63" s="62"/>
      <c r="AF63" s="62"/>
      <c r="AG63" s="62"/>
      <c r="AH63" s="62"/>
      <c r="AI63" s="280"/>
      <c r="AJ63" s="1664"/>
      <c r="AK63" s="1664"/>
      <c r="AL63" s="62"/>
      <c r="AM63" s="62"/>
      <c r="AN63" s="62"/>
      <c r="AO63" s="62"/>
      <c r="AP63" s="62"/>
      <c r="AQ63" s="62"/>
      <c r="AR63" s="62"/>
      <c r="AS63" s="280"/>
      <c r="AT63" s="1664"/>
      <c r="AU63" s="1664"/>
      <c r="AV63" s="62"/>
      <c r="AW63" s="62"/>
      <c r="AX63" s="62"/>
      <c r="AY63" s="62"/>
      <c r="AZ63" s="62"/>
      <c r="BA63" s="62"/>
      <c r="BB63" s="62"/>
      <c r="BC63" s="74"/>
      <c r="BF63" s="1171" t="s">
        <v>1044</v>
      </c>
    </row>
    <row customHeight="1" ht="14.625" hidden="1">
      <c r="E64" s="794">
        <v>15</v>
      </c>
      <c r="F64" s="920" cm="1" t="str">
        <f t="array" ref="F64:F64">F63</f>
        <v>0</v>
      </c>
      <c r="T64" s="816" cm="1" t="str">
        <f t="array" ref="T64:T64">T63</f>
        <v>false</v>
      </c>
      <c r="AB64" s="486" t="str">
        <f>AB60&amp;".4"</f>
        <v>3.4.4</v>
      </c>
      <c r="AC64" s="488" t="s">
        <v>1004</v>
      </c>
      <c r="AD64" s="486" t="s">
        <v>986</v>
      </c>
      <c r="AE64" s="62"/>
      <c r="AF64" s="62"/>
      <c r="AG64" s="62"/>
      <c r="AH64" s="62"/>
      <c r="AI64" s="280"/>
      <c r="AJ64" s="1664"/>
      <c r="AK64" s="1664"/>
      <c r="AL64" s="62"/>
      <c r="AM64" s="62"/>
      <c r="AN64" s="62"/>
      <c r="AO64" s="62"/>
      <c r="AP64" s="62"/>
      <c r="AQ64" s="62"/>
      <c r="AR64" s="62"/>
      <c r="AS64" s="280"/>
      <c r="AT64" s="1664"/>
      <c r="AU64" s="1664"/>
      <c r="AV64" s="62"/>
      <c r="AW64" s="62"/>
      <c r="AX64" s="62"/>
      <c r="AY64" s="62"/>
      <c r="AZ64" s="62"/>
      <c r="BA64" s="62"/>
      <c r="BB64" s="62"/>
      <c r="BC64" s="74"/>
      <c r="BF64" s="1171" t="s">
        <v>1045</v>
      </c>
    </row>
    <row customHeight="1" ht="14.625" hidden="1">
      <c r="E65" s="794">
        <v>15</v>
      </c>
      <c r="F65" s="920" cm="1" t="str">
        <f t="array" ref="F65:F65">F64</f>
        <v>0</v>
      </c>
      <c r="T65" s="816" cm="1" t="str">
        <f t="array" ref="T65:T65">T64</f>
        <v>false</v>
      </c>
      <c r="AB65" s="486" t="str">
        <f>AB60&amp;".5"</f>
        <v>3.4.5</v>
      </c>
      <c r="AC65" s="488" t="s">
        <v>1007</v>
      </c>
      <c r="AD65" s="486" t="s">
        <v>986</v>
      </c>
      <c r="AE65" s="62"/>
      <c r="AF65" s="62"/>
      <c r="AG65" s="62"/>
      <c r="AH65" s="62"/>
      <c r="AI65" s="280"/>
      <c r="AJ65" s="1664"/>
      <c r="AK65" s="1664"/>
      <c r="AL65" s="62"/>
      <c r="AM65" s="62"/>
      <c r="AN65" s="62"/>
      <c r="AO65" s="62"/>
      <c r="AP65" s="62"/>
      <c r="AQ65" s="62"/>
      <c r="AR65" s="62"/>
      <c r="AS65" s="280"/>
      <c r="AT65" s="1664"/>
      <c r="AU65" s="1664"/>
      <c r="AV65" s="62"/>
      <c r="AW65" s="62"/>
      <c r="AX65" s="62"/>
      <c r="AY65" s="62"/>
      <c r="AZ65" s="62"/>
      <c r="BA65" s="62"/>
      <c r="BB65" s="62"/>
      <c r="BC65" s="74"/>
      <c r="BF65" s="1171" t="s">
        <v>1046</v>
      </c>
    </row>
    <row customHeight="1" ht="14.625" hidden="1">
      <c r="E66" s="794">
        <v>15</v>
      </c>
      <c r="F66" s="920" cm="1" t="str">
        <f t="array" ref="F66:F66">F65</f>
        <v>0</v>
      </c>
      <c r="T66" s="816" cm="1" t="str">
        <f t="array" ref="T66:T66">T65</f>
        <v>false</v>
      </c>
      <c r="AB66" s="486" t="str">
        <f>AB56&amp;".5"</f>
        <v>3.5</v>
      </c>
      <c r="AC66" s="487" t="s">
        <v>1010</v>
      </c>
      <c r="AD66" s="486" t="s">
        <v>986</v>
      </c>
      <c r="AE66" s="62"/>
      <c r="AF66" s="62"/>
      <c r="AG66" s="62"/>
      <c r="AH66" s="62"/>
      <c r="AI66" s="280"/>
      <c r="AJ66" s="1664"/>
      <c r="AK66" s="1664"/>
      <c r="AL66" s="62"/>
      <c r="AM66" s="62"/>
      <c r="AN66" s="62"/>
      <c r="AO66" s="62"/>
      <c r="AP66" s="62"/>
      <c r="AQ66" s="62"/>
      <c r="AR66" s="62"/>
      <c r="AS66" s="280"/>
      <c r="AT66" s="1664"/>
      <c r="AU66" s="1664"/>
      <c r="AV66" s="62"/>
      <c r="AW66" s="62"/>
      <c r="AX66" s="62"/>
      <c r="AY66" s="62"/>
      <c r="AZ66" s="62"/>
      <c r="BA66" s="62"/>
      <c r="BB66" s="62"/>
      <c r="BC66" s="74"/>
      <c r="BF66" s="1171" t="s">
        <v>1047</v>
      </c>
    </row>
    <row customHeight="1" ht="14.625" hidden="1">
      <c r="E67" s="794">
        <v>15</v>
      </c>
      <c r="F67" s="920" cm="1" t="str">
        <f t="array" ref="F67:F67">F66</f>
        <v>0</v>
      </c>
      <c r="T67" s="816" cm="1" t="str">
        <f t="array" ref="T67:T67">T66</f>
        <v>false</v>
      </c>
      <c r="AB67" s="486" t="str">
        <f>AB56&amp;".6"</f>
        <v>3.6</v>
      </c>
      <c r="AC67" s="487" t="s">
        <v>1013</v>
      </c>
      <c r="AD67" s="486" t="s">
        <v>986</v>
      </c>
      <c r="AE67" s="62"/>
      <c r="AF67" s="62"/>
      <c r="AG67" s="62"/>
      <c r="AH67" s="62"/>
      <c r="AI67" s="280"/>
      <c r="AJ67" s="1664"/>
      <c r="AK67" s="1664"/>
      <c r="AL67" s="62"/>
      <c r="AM67" s="62"/>
      <c r="AN67" s="62"/>
      <c r="AO67" s="62"/>
      <c r="AP67" s="62"/>
      <c r="AQ67" s="62"/>
      <c r="AR67" s="62"/>
      <c r="AS67" s="280"/>
      <c r="AT67" s="1664"/>
      <c r="AU67" s="1664"/>
      <c r="AV67" s="62"/>
      <c r="AW67" s="62"/>
      <c r="AX67" s="62"/>
      <c r="AY67" s="62"/>
      <c r="AZ67" s="62"/>
      <c r="BA67" s="62"/>
      <c r="BB67" s="62"/>
      <c r="BC67" s="74"/>
      <c r="BF67" s="1171" t="s">
        <v>1048</v>
      </c>
    </row>
    <row customHeight="1" ht="14.625" hidden="1">
      <c r="E68" s="794">
        <v>15</v>
      </c>
      <c r="F68" s="920" cm="1" t="str">
        <f t="array" ref="F68:F68">F67</f>
        <v>0</v>
      </c>
      <c r="T68" s="816" cm="1" t="str">
        <f t="array" ref="T68:T68">T67</f>
        <v>false</v>
      </c>
      <c r="AB68" s="486" t="str">
        <f>AB56&amp;".7"</f>
        <v>3.7</v>
      </c>
      <c r="AC68" s="487" t="s">
        <v>1016</v>
      </c>
      <c r="AD68" s="486" t="s">
        <v>986</v>
      </c>
      <c r="AE68" s="62"/>
      <c r="AF68" s="62"/>
      <c r="AG68" s="62"/>
      <c r="AH68" s="62"/>
      <c r="AI68" s="280"/>
      <c r="AJ68" s="1664"/>
      <c r="AK68" s="1664"/>
      <c r="AL68" s="62"/>
      <c r="AM68" s="62"/>
      <c r="AN68" s="62"/>
      <c r="AO68" s="62"/>
      <c r="AP68" s="62"/>
      <c r="AQ68" s="62"/>
      <c r="AR68" s="62"/>
      <c r="AS68" s="280"/>
      <c r="AT68" s="1664"/>
      <c r="AU68" s="1664"/>
      <c r="AV68" s="62"/>
      <c r="AW68" s="62"/>
      <c r="AX68" s="62"/>
      <c r="AY68" s="62"/>
      <c r="AZ68" s="62"/>
      <c r="BA68" s="62"/>
      <c r="BB68" s="62"/>
      <c r="BC68" s="74"/>
      <c r="BF68" s="1171" t="s">
        <v>1049</v>
      </c>
    </row>
    <row customHeight="1" ht="14.625" hidden="1">
      <c r="E69" s="794">
        <v>15</v>
      </c>
      <c r="F69" s="920" cm="1" t="str">
        <f t="array" ref="F69:F69">F68</f>
        <v>0</v>
      </c>
      <c r="T69" s="816" cm="1" t="str">
        <f t="array" ref="T69:T69">T68</f>
        <v>false</v>
      </c>
      <c r="AB69" s="486" t="str">
        <f>AB56&amp;".8"</f>
        <v>3.8</v>
      </c>
      <c r="AC69" s="487" t="s">
        <v>1019</v>
      </c>
      <c r="AD69" s="486" t="s">
        <v>986</v>
      </c>
      <c r="AE69" s="62"/>
      <c r="AF69" s="62"/>
      <c r="AG69" s="62"/>
      <c r="AH69" s="62"/>
      <c r="AI69" s="280"/>
      <c r="AJ69" s="1664"/>
      <c r="AK69" s="1664"/>
      <c r="AL69" s="62"/>
      <c r="AM69" s="62"/>
      <c r="AN69" s="62"/>
      <c r="AO69" s="62"/>
      <c r="AP69" s="62"/>
      <c r="AQ69" s="62"/>
      <c r="AR69" s="62"/>
      <c r="AS69" s="280"/>
      <c r="AT69" s="1664"/>
      <c r="AU69" s="1664"/>
      <c r="AV69" s="62"/>
      <c r="AW69" s="62"/>
      <c r="AX69" s="62"/>
      <c r="AY69" s="62"/>
      <c r="AZ69" s="62"/>
      <c r="BA69" s="62"/>
      <c r="BB69" s="62"/>
      <c r="BC69" s="74"/>
      <c r="BF69" s="1171" t="s">
        <v>1050</v>
      </c>
    </row>
    <row s="214" customFormat="1" customHeight="1" ht="14.625" hidden="1">
      <c r="E70" s="794">
        <v>15</v>
      </c>
      <c r="F70" s="920" cm="1" t="str">
        <f t="array" ref="F70:F70">F69</f>
        <v>0</v>
      </c>
      <c r="T70" s="816" cm="1" t="str">
        <f t="array" ref="T70:T70">T69</f>
        <v>false</v>
      </c>
      <c r="AB70" s="277">
        <v>4</v>
      </c>
      <c r="AC70" s="278" t="s">
        <v>1051</v>
      </c>
      <c r="AD70" s="153" t="s">
        <v>799</v>
      </c>
      <c r="AE70" s="103">
        <f>SUM(AE71:AE74)+SUM(AE80:AE83)</f>
        <v>0</v>
      </c>
      <c r="AF70" s="103">
        <f>SUM(AF71:AF74)+SUM(AF80:AF83)</f>
        <v>0</v>
      </c>
      <c r="AG70" s="103">
        <f>SUM(AG71:AG74)+SUM(AG80:AG83)</f>
        <v>0</v>
      </c>
      <c r="AH70" s="103">
        <f>SUM(AH71:AH74)+SUM(AH80:AH83)</f>
        <v>0</v>
      </c>
      <c r="AI70" s="292">
        <f>SUM(AI71:AI74)+SUM(AI80:AI83)</f>
        <v>0</v>
      </c>
      <c r="AJ70" s="1848">
        <f>SUM(AJ71:AJ74)+SUM(AJ80:AJ83)</f>
        <v>0</v>
      </c>
      <c r="AK70" s="1848">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48">
        <f>SUM(AT71:AT74)+SUM(AT80:AT83)</f>
        <v>0</v>
      </c>
      <c r="AU70" s="1848">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1052</v>
      </c>
    </row>
    <row customHeight="1" ht="14.625" hidden="1">
      <c r="E71" s="794">
        <v>15</v>
      </c>
      <c r="F71" s="920" cm="1" t="str">
        <f t="array" ref="F71:F71">F70</f>
        <v>0</v>
      </c>
      <c r="T71" s="816" cm="1" t="str">
        <f t="array" ref="T71:T71">T70</f>
        <v>false</v>
      </c>
      <c r="AB71" s="486" t="str">
        <f>AB70&amp;".1"</f>
        <v>4.1</v>
      </c>
      <c r="AC71" s="487" t="s">
        <v>985</v>
      </c>
      <c r="AD71" s="486" t="s">
        <v>986</v>
      </c>
      <c r="AE71" s="62"/>
      <c r="AF71" s="62"/>
      <c r="AG71" s="62"/>
      <c r="AH71" s="62"/>
      <c r="AI71" s="280"/>
      <c r="AJ71" s="1664"/>
      <c r="AK71" s="1664"/>
      <c r="AL71" s="62"/>
      <c r="AM71" s="62"/>
      <c r="AN71" s="62"/>
      <c r="AO71" s="62"/>
      <c r="AP71" s="62"/>
      <c r="AQ71" s="62"/>
      <c r="AR71" s="62"/>
      <c r="AS71" s="280"/>
      <c r="AT71" s="1664"/>
      <c r="AU71" s="1664"/>
      <c r="AV71" s="62"/>
      <c r="AW71" s="62"/>
      <c r="AX71" s="62"/>
      <c r="AY71" s="62"/>
      <c r="AZ71" s="62"/>
      <c r="BA71" s="62"/>
      <c r="BB71" s="62"/>
      <c r="BC71" s="74"/>
      <c r="BF71" s="1171" t="s">
        <v>1053</v>
      </c>
    </row>
    <row customHeight="1" ht="14.625" hidden="1">
      <c r="E72" s="794">
        <v>15</v>
      </c>
      <c r="F72" s="920" cm="1" t="str">
        <f t="array" ref="F72:F72">F71</f>
        <v>0</v>
      </c>
      <c r="T72" s="816" cm="1" t="str">
        <f t="array" ref="T72:T72">T71</f>
        <v>false</v>
      </c>
      <c r="AB72" s="486" t="str">
        <f>AB70&amp;".2"</f>
        <v>4.2</v>
      </c>
      <c r="AC72" s="487" t="s">
        <v>988</v>
      </c>
      <c r="AD72" s="486" t="s">
        <v>986</v>
      </c>
      <c r="AE72" s="62"/>
      <c r="AF72" s="62"/>
      <c r="AG72" s="62"/>
      <c r="AH72" s="62"/>
      <c r="AI72" s="280"/>
      <c r="AJ72" s="1664"/>
      <c r="AK72" s="1664"/>
      <c r="AL72" s="62"/>
      <c r="AM72" s="62"/>
      <c r="AN72" s="62"/>
      <c r="AO72" s="62"/>
      <c r="AP72" s="62"/>
      <c r="AQ72" s="62"/>
      <c r="AR72" s="62"/>
      <c r="AS72" s="280"/>
      <c r="AT72" s="1664"/>
      <c r="AU72" s="1664"/>
      <c r="AV72" s="62"/>
      <c r="AW72" s="62"/>
      <c r="AX72" s="62"/>
      <c r="AY72" s="62"/>
      <c r="AZ72" s="62"/>
      <c r="BA72" s="62"/>
      <c r="BB72" s="62"/>
      <c r="BC72" s="74"/>
      <c r="BF72" s="1171" t="s">
        <v>1054</v>
      </c>
    </row>
    <row customHeight="1" ht="14.625" hidden="1">
      <c r="E73" s="794">
        <v>15</v>
      </c>
      <c r="F73" s="920" cm="1" t="str">
        <f t="array" ref="F73:F73">F72</f>
        <v>0</v>
      </c>
      <c r="T73" s="816" cm="1" t="str">
        <f t="array" ref="T73:T73">T72</f>
        <v>false</v>
      </c>
      <c r="AB73" s="486" t="str">
        <f>AB70&amp;".3"</f>
        <v>4.3</v>
      </c>
      <c r="AC73" s="487" t="s">
        <v>990</v>
      </c>
      <c r="AD73" s="486" t="s">
        <v>986</v>
      </c>
      <c r="AE73" s="62"/>
      <c r="AF73" s="62"/>
      <c r="AG73" s="62"/>
      <c r="AH73" s="62"/>
      <c r="AI73" s="280"/>
      <c r="AJ73" s="1664"/>
      <c r="AK73" s="1664"/>
      <c r="AL73" s="62"/>
      <c r="AM73" s="62"/>
      <c r="AN73" s="62"/>
      <c r="AO73" s="62"/>
      <c r="AP73" s="62"/>
      <c r="AQ73" s="62"/>
      <c r="AR73" s="62"/>
      <c r="AS73" s="280"/>
      <c r="AT73" s="1664"/>
      <c r="AU73" s="1664"/>
      <c r="AV73" s="62"/>
      <c r="AW73" s="62"/>
      <c r="AX73" s="62"/>
      <c r="AY73" s="62"/>
      <c r="AZ73" s="62"/>
      <c r="BA73" s="62"/>
      <c r="BB73" s="62"/>
      <c r="BC73" s="74"/>
      <c r="BF73" s="1171" t="s">
        <v>1055</v>
      </c>
    </row>
    <row customHeight="1" ht="14.625" hidden="1">
      <c r="E74" s="794">
        <v>15</v>
      </c>
      <c r="F74" s="920" cm="1" t="str">
        <f t="array" ref="F74:F74">F73</f>
        <v>0</v>
      </c>
      <c r="T74" s="816" cm="1" t="str">
        <f t="array" ref="T74:T74">T73</f>
        <v>false</v>
      </c>
      <c r="AB74" s="486" t="str">
        <f>AB70&amp;".4"</f>
        <v>4.4</v>
      </c>
      <c r="AC74" s="487" t="s">
        <v>992</v>
      </c>
      <c r="AD74" s="486" t="s">
        <v>986</v>
      </c>
      <c r="AE74" s="86">
        <f>SUM(AE75:AE79)</f>
        <v>0</v>
      </c>
      <c r="AF74" s="86">
        <f>SUM(AF75:AF79)</f>
        <v>0</v>
      </c>
      <c r="AG74" s="86">
        <f>SUM(AG75:AG79)</f>
        <v>0</v>
      </c>
      <c r="AH74" s="86">
        <f>SUM(AH75:AH79)</f>
        <v>0</v>
      </c>
      <c r="AI74" s="481">
        <f>SUM(AI75:AI79)</f>
        <v>0</v>
      </c>
      <c r="AJ74" s="1787">
        <f>SUM(AJ75:AJ79)</f>
        <v>0</v>
      </c>
      <c r="AK74" s="1787">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87">
        <f>SUM(AT75:AT79)</f>
        <v>0</v>
      </c>
      <c r="AU74" s="1787">
        <f>SUM(AU75:AU79)</f>
        <v>0</v>
      </c>
      <c r="AV74" s="86">
        <f>SUM(AV75:AV79)</f>
        <v>0</v>
      </c>
      <c r="AW74" s="86">
        <f>SUM(AW75:AW79)</f>
        <v>0</v>
      </c>
      <c r="AX74" s="86">
        <f>SUM(AX75:AX79)</f>
        <v>0</v>
      </c>
      <c r="AY74" s="86">
        <f>SUM(AY75:AY79)</f>
        <v>0</v>
      </c>
      <c r="AZ74" s="86">
        <f>SUM(AZ75:AZ79)</f>
        <v>0</v>
      </c>
      <c r="BA74" s="86">
        <f>SUM(BA75:BA79)</f>
        <v>0</v>
      </c>
      <c r="BB74" s="86">
        <f>SUM(BB75:BB79)</f>
        <v>0</v>
      </c>
      <c r="BC74" s="74"/>
      <c r="BF74" s="1171" t="s">
        <v>1056</v>
      </c>
    </row>
    <row customHeight="1" ht="14.625" hidden="1">
      <c r="E75" s="794">
        <v>15</v>
      </c>
      <c r="F75" s="920" cm="1" t="str">
        <f t="array" ref="F75:F75">F74</f>
        <v>0</v>
      </c>
      <c r="T75" s="816" cm="1" t="str">
        <f t="array" ref="T75:T75">T74</f>
        <v>false</v>
      </c>
      <c r="AB75" s="486" t="str">
        <f>AB74&amp;".1"</f>
        <v>4.4.1</v>
      </c>
      <c r="AC75" s="488" t="s">
        <v>995</v>
      </c>
      <c r="AD75" s="486" t="s">
        <v>986</v>
      </c>
      <c r="AE75" s="62"/>
      <c r="AF75" s="62"/>
      <c r="AG75" s="62"/>
      <c r="AH75" s="62"/>
      <c r="AI75" s="280"/>
      <c r="AJ75" s="1664"/>
      <c r="AK75" s="1664"/>
      <c r="AL75" s="62"/>
      <c r="AM75" s="62"/>
      <c r="AN75" s="62"/>
      <c r="AO75" s="62"/>
      <c r="AP75" s="62"/>
      <c r="AQ75" s="62"/>
      <c r="AR75" s="62"/>
      <c r="AS75" s="280"/>
      <c r="AT75" s="1664"/>
      <c r="AU75" s="1664"/>
      <c r="AV75" s="62"/>
      <c r="AW75" s="62"/>
      <c r="AX75" s="62"/>
      <c r="AY75" s="62"/>
      <c r="AZ75" s="62"/>
      <c r="BA75" s="62"/>
      <c r="BB75" s="62"/>
      <c r="BC75" s="74"/>
      <c r="BF75" s="1171" t="s">
        <v>1057</v>
      </c>
    </row>
    <row customHeight="1" ht="14.625" hidden="1">
      <c r="E76" s="794">
        <v>15</v>
      </c>
      <c r="F76" s="920" cm="1" t="str">
        <f t="array" ref="F76:F76">F75</f>
        <v>0</v>
      </c>
      <c r="T76" s="816" cm="1" t="str">
        <f t="array" ref="T76:T76">T75</f>
        <v>false</v>
      </c>
      <c r="AB76" s="486" t="str">
        <f>AB74&amp;".2"</f>
        <v>4.4.2</v>
      </c>
      <c r="AC76" s="488" t="s">
        <v>998</v>
      </c>
      <c r="AD76" s="486" t="s">
        <v>986</v>
      </c>
      <c r="AE76" s="62"/>
      <c r="AF76" s="62"/>
      <c r="AG76" s="62"/>
      <c r="AH76" s="62"/>
      <c r="AI76" s="280"/>
      <c r="AJ76" s="1664"/>
      <c r="AK76" s="1664"/>
      <c r="AL76" s="62"/>
      <c r="AM76" s="62"/>
      <c r="AN76" s="62"/>
      <c r="AO76" s="62"/>
      <c r="AP76" s="62"/>
      <c r="AQ76" s="62"/>
      <c r="AR76" s="62"/>
      <c r="AS76" s="280"/>
      <c r="AT76" s="1664"/>
      <c r="AU76" s="1664"/>
      <c r="AV76" s="62"/>
      <c r="AW76" s="62"/>
      <c r="AX76" s="62"/>
      <c r="AY76" s="62"/>
      <c r="AZ76" s="62"/>
      <c r="BA76" s="62"/>
      <c r="BB76" s="62"/>
      <c r="BC76" s="74"/>
      <c r="BF76" s="1171" t="s">
        <v>1058</v>
      </c>
    </row>
    <row customHeight="1" ht="14.625" hidden="1">
      <c r="E77" s="794">
        <v>15</v>
      </c>
      <c r="F77" s="920" cm="1" t="str">
        <f t="array" ref="F77:F77">F76</f>
        <v>0</v>
      </c>
      <c r="T77" s="816" cm="1" t="str">
        <f t="array" ref="T77:T77">T76</f>
        <v>false</v>
      </c>
      <c r="AB77" s="486" t="str">
        <f>AB74&amp;".3"</f>
        <v>4.4.3</v>
      </c>
      <c r="AC77" s="488" t="s">
        <v>1001</v>
      </c>
      <c r="AD77" s="486" t="s">
        <v>986</v>
      </c>
      <c r="AE77" s="62"/>
      <c r="AF77" s="62"/>
      <c r="AG77" s="62"/>
      <c r="AH77" s="62"/>
      <c r="AI77" s="280"/>
      <c r="AJ77" s="1664"/>
      <c r="AK77" s="1664"/>
      <c r="AL77" s="62"/>
      <c r="AM77" s="62"/>
      <c r="AN77" s="62"/>
      <c r="AO77" s="62"/>
      <c r="AP77" s="62"/>
      <c r="AQ77" s="62"/>
      <c r="AR77" s="62"/>
      <c r="AS77" s="280"/>
      <c r="AT77" s="1664"/>
      <c r="AU77" s="1664"/>
      <c r="AV77" s="62"/>
      <c r="AW77" s="62"/>
      <c r="AX77" s="62"/>
      <c r="AY77" s="62"/>
      <c r="AZ77" s="62"/>
      <c r="BA77" s="62"/>
      <c r="BB77" s="62"/>
      <c r="BC77" s="74"/>
      <c r="BF77" s="1171" t="s">
        <v>1059</v>
      </c>
    </row>
    <row customHeight="1" ht="14.625" hidden="1">
      <c r="E78" s="794">
        <v>15</v>
      </c>
      <c r="F78" s="920" cm="1" t="str">
        <f t="array" ref="F78:F78">F77</f>
        <v>0</v>
      </c>
      <c r="T78" s="816" cm="1" t="str">
        <f t="array" ref="T78:T78">T77</f>
        <v>false</v>
      </c>
      <c r="AB78" s="486" t="str">
        <f>AB74&amp;".4"</f>
        <v>4.4.4</v>
      </c>
      <c r="AC78" s="488" t="s">
        <v>1004</v>
      </c>
      <c r="AD78" s="486" t="s">
        <v>986</v>
      </c>
      <c r="AE78" s="62"/>
      <c r="AF78" s="62"/>
      <c r="AG78" s="62"/>
      <c r="AH78" s="62"/>
      <c r="AI78" s="280"/>
      <c r="AJ78" s="1664"/>
      <c r="AK78" s="1664"/>
      <c r="AL78" s="62"/>
      <c r="AM78" s="62"/>
      <c r="AN78" s="62"/>
      <c r="AO78" s="62"/>
      <c r="AP78" s="62"/>
      <c r="AQ78" s="62"/>
      <c r="AR78" s="62"/>
      <c r="AS78" s="280"/>
      <c r="AT78" s="1664"/>
      <c r="AU78" s="1664"/>
      <c r="AV78" s="62"/>
      <c r="AW78" s="62"/>
      <c r="AX78" s="62"/>
      <c r="AY78" s="62"/>
      <c r="AZ78" s="62"/>
      <c r="BA78" s="62"/>
      <c r="BB78" s="62"/>
      <c r="BC78" s="74"/>
      <c r="BF78" s="1171" t="s">
        <v>1060</v>
      </c>
    </row>
    <row customHeight="1" ht="14.625" hidden="1">
      <c r="E79" s="794">
        <v>15</v>
      </c>
      <c r="F79" s="920" cm="1" t="str">
        <f t="array" ref="F79:F79">F78</f>
        <v>0</v>
      </c>
      <c r="T79" s="816" cm="1" t="str">
        <f t="array" ref="T79:T79">T78</f>
        <v>false</v>
      </c>
      <c r="AB79" s="486" t="str">
        <f>AB74&amp;".5"</f>
        <v>4.4.5</v>
      </c>
      <c r="AC79" s="488" t="s">
        <v>1007</v>
      </c>
      <c r="AD79" s="486" t="s">
        <v>986</v>
      </c>
      <c r="AE79" s="62"/>
      <c r="AF79" s="62"/>
      <c r="AG79" s="62"/>
      <c r="AH79" s="62"/>
      <c r="AI79" s="280"/>
      <c r="AJ79" s="1664"/>
      <c r="AK79" s="1664"/>
      <c r="AL79" s="62"/>
      <c r="AM79" s="62"/>
      <c r="AN79" s="62"/>
      <c r="AO79" s="62"/>
      <c r="AP79" s="62"/>
      <c r="AQ79" s="62"/>
      <c r="AR79" s="62"/>
      <c r="AS79" s="280"/>
      <c r="AT79" s="1664"/>
      <c r="AU79" s="1664"/>
      <c r="AV79" s="62"/>
      <c r="AW79" s="62"/>
      <c r="AX79" s="62"/>
      <c r="AY79" s="62"/>
      <c r="AZ79" s="62"/>
      <c r="BA79" s="62"/>
      <c r="BB79" s="62"/>
      <c r="BC79" s="74"/>
      <c r="BF79" s="1171" t="s">
        <v>1061</v>
      </c>
    </row>
    <row customHeight="1" ht="14.625" hidden="1">
      <c r="E80" s="794">
        <v>15</v>
      </c>
      <c r="F80" s="920" cm="1" t="str">
        <f t="array" ref="F80:F80">F79</f>
        <v>0</v>
      </c>
      <c r="T80" s="816" cm="1" t="str">
        <f t="array" ref="T80:T80">T79</f>
        <v>false</v>
      </c>
      <c r="AB80" s="486" t="str">
        <f>AB70&amp;".5"</f>
        <v>4.5</v>
      </c>
      <c r="AC80" s="487" t="s">
        <v>1010</v>
      </c>
      <c r="AD80" s="486" t="s">
        <v>986</v>
      </c>
      <c r="AE80" s="62"/>
      <c r="AF80" s="62"/>
      <c r="AG80" s="62"/>
      <c r="AH80" s="62"/>
      <c r="AI80" s="280"/>
      <c r="AJ80" s="1664"/>
      <c r="AK80" s="1664"/>
      <c r="AL80" s="62"/>
      <c r="AM80" s="62"/>
      <c r="AN80" s="62"/>
      <c r="AO80" s="62"/>
      <c r="AP80" s="62"/>
      <c r="AQ80" s="62"/>
      <c r="AR80" s="62"/>
      <c r="AS80" s="280"/>
      <c r="AT80" s="1664"/>
      <c r="AU80" s="1664"/>
      <c r="AV80" s="62"/>
      <c r="AW80" s="62"/>
      <c r="AX80" s="62"/>
      <c r="AY80" s="62"/>
      <c r="AZ80" s="62"/>
      <c r="BA80" s="62"/>
      <c r="BB80" s="62"/>
      <c r="BC80" s="74"/>
      <c r="BF80" s="1171" t="s">
        <v>1062</v>
      </c>
    </row>
    <row customHeight="1" ht="14.625" hidden="1">
      <c r="E81" s="794">
        <v>15</v>
      </c>
      <c r="F81" s="920" cm="1" t="str">
        <f t="array" ref="F81:F81">F80</f>
        <v>0</v>
      </c>
      <c r="T81" s="816" cm="1" t="str">
        <f t="array" ref="T81:T81">T80</f>
        <v>false</v>
      </c>
      <c r="AB81" s="486" t="str">
        <f>AB70&amp;".6"</f>
        <v>4.6</v>
      </c>
      <c r="AC81" s="487" t="s">
        <v>1013</v>
      </c>
      <c r="AD81" s="486" t="s">
        <v>986</v>
      </c>
      <c r="AE81" s="62"/>
      <c r="AF81" s="62"/>
      <c r="AG81" s="62"/>
      <c r="AH81" s="62"/>
      <c r="AI81" s="280"/>
      <c r="AJ81" s="1664"/>
      <c r="AK81" s="1664"/>
      <c r="AL81" s="62"/>
      <c r="AM81" s="62"/>
      <c r="AN81" s="62"/>
      <c r="AO81" s="62"/>
      <c r="AP81" s="62"/>
      <c r="AQ81" s="62"/>
      <c r="AR81" s="62"/>
      <c r="AS81" s="280"/>
      <c r="AT81" s="1664"/>
      <c r="AU81" s="1664"/>
      <c r="AV81" s="62"/>
      <c r="AW81" s="62"/>
      <c r="AX81" s="62"/>
      <c r="AY81" s="62"/>
      <c r="AZ81" s="62"/>
      <c r="BA81" s="62"/>
      <c r="BB81" s="62"/>
      <c r="BC81" s="74"/>
      <c r="BF81" s="1171" t="s">
        <v>1063</v>
      </c>
    </row>
    <row customHeight="1" ht="14.625" hidden="1">
      <c r="E82" s="794">
        <v>15</v>
      </c>
      <c r="F82" s="920" cm="1" t="str">
        <f t="array" ref="F82:F82">F81</f>
        <v>0</v>
      </c>
      <c r="T82" s="816" cm="1" t="str">
        <f t="array" ref="T82:T82">T81</f>
        <v>false</v>
      </c>
      <c r="AB82" s="486" t="str">
        <f>AB70&amp;".7"</f>
        <v>4.7</v>
      </c>
      <c r="AC82" s="487" t="s">
        <v>1016</v>
      </c>
      <c r="AD82" s="486" t="s">
        <v>986</v>
      </c>
      <c r="AE82" s="62"/>
      <c r="AF82" s="62"/>
      <c r="AG82" s="62"/>
      <c r="AH82" s="62"/>
      <c r="AI82" s="280"/>
      <c r="AJ82" s="1664"/>
      <c r="AK82" s="1664"/>
      <c r="AL82" s="62"/>
      <c r="AM82" s="62"/>
      <c r="AN82" s="62"/>
      <c r="AO82" s="62"/>
      <c r="AP82" s="62"/>
      <c r="AQ82" s="62"/>
      <c r="AR82" s="62"/>
      <c r="AS82" s="280"/>
      <c r="AT82" s="1664"/>
      <c r="AU82" s="1664"/>
      <c r="AV82" s="62"/>
      <c r="AW82" s="62"/>
      <c r="AX82" s="62"/>
      <c r="AY82" s="62"/>
      <c r="AZ82" s="62"/>
      <c r="BA82" s="62"/>
      <c r="BB82" s="62"/>
      <c r="BC82" s="74"/>
      <c r="BF82" s="1171" t="s">
        <v>1064</v>
      </c>
    </row>
    <row customHeight="1" ht="14.625" hidden="1">
      <c r="E83" s="794">
        <v>15</v>
      </c>
      <c r="F83" s="920" cm="1" t="str">
        <f t="array" ref="F83:F83">F82</f>
        <v>0</v>
      </c>
      <c r="T83" s="816" cm="1" t="str">
        <f t="array" ref="T83:T83">T82</f>
        <v>false</v>
      </c>
      <c r="AB83" s="486" t="str">
        <f>AB70&amp;".8"</f>
        <v>4.8</v>
      </c>
      <c r="AC83" s="487" t="s">
        <v>1019</v>
      </c>
      <c r="AD83" s="486" t="s">
        <v>986</v>
      </c>
      <c r="AE83" s="62"/>
      <c r="AF83" s="62"/>
      <c r="AG83" s="62"/>
      <c r="AH83" s="62"/>
      <c r="AI83" s="280"/>
      <c r="AJ83" s="1664"/>
      <c r="AK83" s="1664"/>
      <c r="AL83" s="62"/>
      <c r="AM83" s="62"/>
      <c r="AN83" s="62"/>
      <c r="AO83" s="62"/>
      <c r="AP83" s="62"/>
      <c r="AQ83" s="62"/>
      <c r="AR83" s="62"/>
      <c r="AS83" s="280"/>
      <c r="AT83" s="1664"/>
      <c r="AU83" s="1664"/>
      <c r="AV83" s="62"/>
      <c r="AW83" s="62"/>
      <c r="AX83" s="62"/>
      <c r="AY83" s="62"/>
      <c r="AZ83" s="62"/>
      <c r="BA83" s="62"/>
      <c r="BB83" s="62"/>
      <c r="BC83" s="74"/>
      <c r="BF83" s="1171" t="s">
        <v>1065</v>
      </c>
    </row>
    <row s="214" customFormat="1" customHeight="1" ht="22.23" hidden="1">
      <c r="E84" s="794">
        <v>22.8</v>
      </c>
      <c r="F84" s="920" cm="1" t="str">
        <f t="array" ref="F84:F84">F83</f>
        <v>0</v>
      </c>
      <c r="T84" s="816" cm="1" t="str">
        <f t="array" ref="T84:T84">T83</f>
        <v>false</v>
      </c>
      <c r="AB84" s="277">
        <v>5</v>
      </c>
      <c r="AC84" s="278" t="s">
        <v>1066</v>
      </c>
      <c r="AD84" s="153" t="s">
        <v>799</v>
      </c>
      <c r="AE84" s="103">
        <f>SUM(AE85:AE88)+SUM(AE94:AE97)</f>
        <v>0</v>
      </c>
      <c r="AF84" s="103">
        <f>SUM(AF85:AF88)+SUM(AF94:AF97)</f>
        <v>0</v>
      </c>
      <c r="AG84" s="103">
        <f>SUM(AG85:AG88)+SUM(AG94:AG97)</f>
        <v>0</v>
      </c>
      <c r="AH84" s="103">
        <f>SUM(AH85:AH88)+SUM(AH94:AH97)</f>
        <v>0</v>
      </c>
      <c r="AI84" s="292">
        <f>SUM(AI85:AI88)+SUM(AI94:AI97)</f>
        <v>0</v>
      </c>
      <c r="AJ84" s="1848">
        <f>SUM(AJ85:AJ88)+SUM(AJ94:AJ97)</f>
        <v>0</v>
      </c>
      <c r="AK84" s="1848">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48">
        <f>SUM(AT85:AT88)+SUM(AT94:AT97)</f>
        <v>0</v>
      </c>
      <c r="AU84" s="1848">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1067</v>
      </c>
    </row>
    <row customHeight="1" ht="14.625" hidden="1">
      <c r="E85" s="794">
        <v>15</v>
      </c>
      <c r="F85" s="920" cm="1" t="str">
        <f t="array" ref="F85:F85">F84</f>
        <v>0</v>
      </c>
      <c r="T85" s="816" cm="1" t="str">
        <f t="array" ref="T85:T85">T84</f>
        <v>false</v>
      </c>
      <c r="AB85" s="477" t="str">
        <f>AB84&amp;".1"</f>
        <v>5.1</v>
      </c>
      <c r="AC85" s="469" t="s">
        <v>985</v>
      </c>
      <c r="AD85" s="477" t="s">
        <v>986</v>
      </c>
      <c r="AE85" s="86">
        <f>(AE29*2+AE43+AE57-AE71)/2</f>
        <v>0</v>
      </c>
      <c r="AF85" s="86">
        <f>(AF29*2+AF43+AF57-AF71)/2</f>
        <v>0</v>
      </c>
      <c r="AG85" s="86">
        <f>(AG29*2+AG43+AG57-AG71)/2</f>
        <v>0</v>
      </c>
      <c r="AH85" s="86">
        <f>(AH29*2+AH43+AH57-AH71)/2</f>
        <v>0</v>
      </c>
      <c r="AI85" s="481">
        <f>(AI29*2+AI43+AI57-AI71)/2</f>
        <v>0</v>
      </c>
      <c r="AJ85" s="1787">
        <f>(AJ29*2+AJ43+AJ57-AJ71)/2</f>
        <v>0</v>
      </c>
      <c r="AK85" s="1787">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87">
        <f>(AT29*2+AT43+AT57-AT71)/2</f>
        <v>0</v>
      </c>
      <c r="AU85" s="1787">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1068</v>
      </c>
    </row>
    <row customHeight="1" ht="14.625" hidden="1">
      <c r="E86" s="794">
        <v>15</v>
      </c>
      <c r="F86" s="920" cm="1" t="str">
        <f t="array" ref="F86:F86">F85</f>
        <v>0</v>
      </c>
      <c r="T86" s="816" cm="1" t="str">
        <f t="array" ref="T86:T86">T85</f>
        <v>false</v>
      </c>
      <c r="AB86" s="477" t="str">
        <f>AB84&amp;".2"</f>
        <v>5.2</v>
      </c>
      <c r="AC86" s="469" t="s">
        <v>988</v>
      </c>
      <c r="AD86" s="477" t="s">
        <v>986</v>
      </c>
      <c r="AE86" s="86">
        <f>(AE30*2+AE44+AE58-AE72)/2</f>
        <v>0</v>
      </c>
      <c r="AF86" s="86">
        <f>(AF30*2+AF44+AF58-AF72)/2</f>
        <v>0</v>
      </c>
      <c r="AG86" s="86">
        <f>(AG30*2+AG44+AG58-AG72)/2</f>
        <v>0</v>
      </c>
      <c r="AH86" s="86">
        <f>(AH30*2+AH44+AH58-AH72)/2</f>
        <v>0</v>
      </c>
      <c r="AI86" s="481">
        <f>(AI30*2+AI44+AI58-AI72)/2</f>
        <v>0</v>
      </c>
      <c r="AJ86" s="1787">
        <f>(AJ30*2+AJ44+AJ58-AJ72)/2</f>
        <v>0</v>
      </c>
      <c r="AK86" s="1787">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87">
        <f>(AT30*2+AT44+AT58-AT72)/2</f>
        <v>0</v>
      </c>
      <c r="AU86" s="1787">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1069</v>
      </c>
    </row>
    <row customHeight="1" ht="14.625" hidden="1">
      <c r="E87" s="794">
        <v>15</v>
      </c>
      <c r="F87" s="920" cm="1" t="str">
        <f t="array" ref="F87:F87">F86</f>
        <v>0</v>
      </c>
      <c r="T87" s="816" cm="1" t="str">
        <f t="array" ref="T87:T87">T86</f>
        <v>false</v>
      </c>
      <c r="AB87" s="477" t="str">
        <f>AB84&amp;".3"</f>
        <v>5.3</v>
      </c>
      <c r="AC87" s="469" t="s">
        <v>990</v>
      </c>
      <c r="AD87" s="477" t="s">
        <v>986</v>
      </c>
      <c r="AE87" s="86">
        <f>(AE31*2+AE45+AE59-AE73)/2</f>
        <v>0</v>
      </c>
      <c r="AF87" s="86">
        <f>(AF31*2+AF45+AF59-AF73)/2</f>
        <v>0</v>
      </c>
      <c r="AG87" s="86">
        <f>(AG31*2+AG45+AG59-AG73)/2</f>
        <v>0</v>
      </c>
      <c r="AH87" s="86">
        <f>(AH31*2+AH45+AH59-AH73)/2</f>
        <v>0</v>
      </c>
      <c r="AI87" s="481">
        <f>(AI31*2+AI45+AI59-AI73)/2</f>
        <v>0</v>
      </c>
      <c r="AJ87" s="1787">
        <f>(AJ31*2+AJ45+AJ59-AJ73)/2</f>
        <v>0</v>
      </c>
      <c r="AK87" s="1787">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87">
        <f>(AT31*2+AT45+AT59-AT73)/2</f>
        <v>0</v>
      </c>
      <c r="AU87" s="1787">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1070</v>
      </c>
    </row>
    <row customHeight="1" ht="14.625" hidden="1">
      <c r="E88" s="794">
        <v>15</v>
      </c>
      <c r="F88" s="920" cm="1" t="str">
        <f t="array" ref="F88:F88">F87</f>
        <v>0</v>
      </c>
      <c r="T88" s="816" cm="1" t="str">
        <f t="array" ref="T88:T88">T87</f>
        <v>false</v>
      </c>
      <c r="AB88" s="477" t="str">
        <f>AB84&amp;".4"</f>
        <v>5.4</v>
      </c>
      <c r="AC88" s="469" t="s">
        <v>992</v>
      </c>
      <c r="AD88" s="477" t="s">
        <v>986</v>
      </c>
      <c r="AE88" s="86">
        <f>SUM(AE89:AE93)</f>
        <v>0</v>
      </c>
      <c r="AF88" s="86">
        <f>SUM(AF89:AF93)</f>
        <v>0</v>
      </c>
      <c r="AG88" s="86">
        <f>SUM(AG89:AG93)</f>
        <v>0</v>
      </c>
      <c r="AH88" s="86">
        <f>SUM(AH89:AH93)</f>
        <v>0</v>
      </c>
      <c r="AI88" s="481">
        <f>SUM(AI89:AI93)</f>
        <v>0</v>
      </c>
      <c r="AJ88" s="1787">
        <f>SUM(AJ89:AJ93)</f>
        <v>0</v>
      </c>
      <c r="AK88" s="1787">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87">
        <f>SUM(AT89:AT93)</f>
        <v>0</v>
      </c>
      <c r="AU88" s="1787">
        <f>SUM(AU89:AU93)</f>
        <v>0</v>
      </c>
      <c r="AV88" s="86">
        <f>SUM(AV89:AV93)</f>
        <v>0</v>
      </c>
      <c r="AW88" s="86">
        <f>SUM(AW89:AW93)</f>
        <v>0</v>
      </c>
      <c r="AX88" s="86">
        <f>SUM(AX89:AX93)</f>
        <v>0</v>
      </c>
      <c r="AY88" s="86">
        <f>SUM(AY89:AY93)</f>
        <v>0</v>
      </c>
      <c r="AZ88" s="86">
        <f>SUM(AZ89:AZ93)</f>
        <v>0</v>
      </c>
      <c r="BA88" s="86">
        <f>SUM(BA89:BA93)</f>
        <v>0</v>
      </c>
      <c r="BB88" s="86">
        <f>SUM(BB89:BB93)</f>
        <v>0</v>
      </c>
      <c r="BC88" s="106"/>
      <c r="BF88" s="1171" t="s">
        <v>1071</v>
      </c>
    </row>
    <row customHeight="1" ht="14.625" hidden="1">
      <c r="E89" s="794">
        <v>15</v>
      </c>
      <c r="F89" s="920" cm="1" t="str">
        <f t="array" ref="F89:F89">F88</f>
        <v>0</v>
      </c>
      <c r="T89" s="816" cm="1" t="str">
        <f t="array" ref="T89:T89">T88</f>
        <v>false</v>
      </c>
      <c r="AB89" s="477" t="str">
        <f>AB88&amp;".1"</f>
        <v>5.4.1</v>
      </c>
      <c r="AC89" s="527" t="s">
        <v>995</v>
      </c>
      <c r="AD89" s="477" t="s">
        <v>986</v>
      </c>
      <c r="AE89" s="86">
        <f>(AE33*2+AE47+AE61-AE75)/2</f>
        <v>0</v>
      </c>
      <c r="AF89" s="86">
        <f>(AF33*2+AF47+AF61-AF75)/2</f>
        <v>0</v>
      </c>
      <c r="AG89" s="86">
        <f>(AG33*2+AG47+AG61-AG75)/2</f>
        <v>0</v>
      </c>
      <c r="AH89" s="86">
        <f>(AH33*2+AH47+AH61-AH75)/2</f>
        <v>0</v>
      </c>
      <c r="AI89" s="481">
        <f>(AI33*2+AI47+AI61-AI75)/2</f>
        <v>0</v>
      </c>
      <c r="AJ89" s="1787">
        <f>(AJ33*2+AJ47+AJ61-AJ75)/2</f>
        <v>0</v>
      </c>
      <c r="AK89" s="1787">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87">
        <f>(AT33*2+AT47+AT61-AT75)/2</f>
        <v>0</v>
      </c>
      <c r="AU89" s="1787">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1072</v>
      </c>
    </row>
    <row customHeight="1" ht="14.625" hidden="1">
      <c r="E90" s="794">
        <v>15</v>
      </c>
      <c r="F90" s="920" cm="1" t="str">
        <f t="array" ref="F90:F90">F89</f>
        <v>0</v>
      </c>
      <c r="T90" s="816" cm="1" t="str">
        <f t="array" ref="T90:T90">T89</f>
        <v>false</v>
      </c>
      <c r="AB90" s="477" t="str">
        <f>AB88&amp;".2"</f>
        <v>5.4.2</v>
      </c>
      <c r="AC90" s="527" t="s">
        <v>998</v>
      </c>
      <c r="AD90" s="477" t="s">
        <v>986</v>
      </c>
      <c r="AE90" s="86">
        <f>(AE34*2+AE48+AE62-AE76)/2</f>
        <v>0</v>
      </c>
      <c r="AF90" s="86">
        <f>(AF34*2+AF48+AF62-AF76)/2</f>
        <v>0</v>
      </c>
      <c r="AG90" s="86">
        <f>(AG34*2+AG48+AG62-AG76)/2</f>
        <v>0</v>
      </c>
      <c r="AH90" s="86">
        <f>(AH34*2+AH48+AH62-AH76)/2</f>
        <v>0</v>
      </c>
      <c r="AI90" s="481">
        <f>(AI34*2+AI48+AI62-AI76)/2</f>
        <v>0</v>
      </c>
      <c r="AJ90" s="1787">
        <f>(AJ34*2+AJ48+AJ62-AJ76)/2</f>
        <v>0</v>
      </c>
      <c r="AK90" s="1787">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87">
        <f>(AT34*2+AT48+AT62-AT76)/2</f>
        <v>0</v>
      </c>
      <c r="AU90" s="1787">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1073</v>
      </c>
    </row>
    <row customHeight="1" ht="14.625" hidden="1">
      <c r="E91" s="794">
        <v>15</v>
      </c>
      <c r="F91" s="920" cm="1" t="str">
        <f t="array" ref="F91:F91">F90</f>
        <v>0</v>
      </c>
      <c r="T91" s="816" cm="1" t="str">
        <f t="array" ref="T91:T91">T90</f>
        <v>false</v>
      </c>
      <c r="AB91" s="477" t="str">
        <f>AB88&amp;".3"</f>
        <v>5.4.3</v>
      </c>
      <c r="AC91" s="527" t="s">
        <v>1001</v>
      </c>
      <c r="AD91" s="477" t="s">
        <v>986</v>
      </c>
      <c r="AE91" s="86">
        <f>(AE35*2+AE49+AE63-AE77)/2</f>
        <v>0</v>
      </c>
      <c r="AF91" s="86">
        <f>(AF35*2+AF49+AF63-AF77)/2</f>
        <v>0</v>
      </c>
      <c r="AG91" s="86">
        <f>(AG35*2+AG49+AG63-AG77)/2</f>
        <v>0</v>
      </c>
      <c r="AH91" s="86">
        <f>(AH35*2+AH49+AH63-AH77)/2</f>
        <v>0</v>
      </c>
      <c r="AI91" s="481">
        <f>(AI35*2+AI49+AI63-AI77)/2</f>
        <v>0</v>
      </c>
      <c r="AJ91" s="1787">
        <f>(AJ35*2+AJ49+AJ63-AJ77)/2</f>
        <v>0</v>
      </c>
      <c r="AK91" s="1787">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87">
        <f>(AT35*2+AT49+AT63-AT77)/2</f>
        <v>0</v>
      </c>
      <c r="AU91" s="1787">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1074</v>
      </c>
    </row>
    <row customHeight="1" ht="14.625" hidden="1">
      <c r="E92" s="794">
        <v>15</v>
      </c>
      <c r="F92" s="920" cm="1" t="str">
        <f t="array" ref="F92:F92">F91</f>
        <v>0</v>
      </c>
      <c r="T92" s="816" cm="1" t="str">
        <f t="array" ref="T92:T92">T91</f>
        <v>false</v>
      </c>
      <c r="AB92" s="477" t="str">
        <f>AB88&amp;".4"</f>
        <v>5.4.4</v>
      </c>
      <c r="AC92" s="527" t="s">
        <v>1004</v>
      </c>
      <c r="AD92" s="477" t="s">
        <v>986</v>
      </c>
      <c r="AE92" s="86">
        <f>(AE36*2+AE50+AE64-AE78)/2</f>
        <v>0</v>
      </c>
      <c r="AF92" s="86">
        <f>(AF36*2+AF50+AF64-AF78)/2</f>
        <v>0</v>
      </c>
      <c r="AG92" s="86">
        <f>(AG36*2+AG50+AG64-AG78)/2</f>
        <v>0</v>
      </c>
      <c r="AH92" s="86">
        <f>(AH36*2+AH50+AH64-AH78)/2</f>
        <v>0</v>
      </c>
      <c r="AI92" s="481">
        <f>(AI36*2+AI50+AI64-AI78)/2</f>
        <v>0</v>
      </c>
      <c r="AJ92" s="1787">
        <f>(AJ36*2+AJ50+AJ64-AJ78)/2</f>
        <v>0</v>
      </c>
      <c r="AK92" s="1787">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87">
        <f>(AT36*2+AT50+AT64-AT78)/2</f>
        <v>0</v>
      </c>
      <c r="AU92" s="1787">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1075</v>
      </c>
    </row>
    <row customHeight="1" ht="14.625" hidden="1">
      <c r="E93" s="794">
        <v>15</v>
      </c>
      <c r="F93" s="920" cm="1" t="str">
        <f t="array" ref="F93:F93">F92</f>
        <v>0</v>
      </c>
      <c r="T93" s="816" cm="1" t="str">
        <f t="array" ref="T93:T93">T92</f>
        <v>false</v>
      </c>
      <c r="AB93" s="477" t="str">
        <f>AB88&amp;".5"</f>
        <v>5.4.5</v>
      </c>
      <c r="AC93" s="527" t="s">
        <v>1007</v>
      </c>
      <c r="AD93" s="477" t="s">
        <v>986</v>
      </c>
      <c r="AE93" s="86">
        <f>(AE37*2+AE51+AE65-AE79)/2</f>
        <v>0</v>
      </c>
      <c r="AF93" s="86">
        <f>(AF37*2+AF51+AF65-AF79)/2</f>
        <v>0</v>
      </c>
      <c r="AG93" s="86">
        <f>(AG37*2+AG51+AG65-AG79)/2</f>
        <v>0</v>
      </c>
      <c r="AH93" s="86">
        <f>(AH37*2+AH51+AH65-AH79)/2</f>
        <v>0</v>
      </c>
      <c r="AI93" s="481">
        <f>(AI37*2+AI51+AI65-AI79)/2</f>
        <v>0</v>
      </c>
      <c r="AJ93" s="1787">
        <f>(AJ37*2+AJ51+AJ65-AJ79)/2</f>
        <v>0</v>
      </c>
      <c r="AK93" s="1787">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87">
        <f>(AT37*2+AT51+AT65-AT79)/2</f>
        <v>0</v>
      </c>
      <c r="AU93" s="1787">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1076</v>
      </c>
    </row>
    <row customHeight="1" ht="14.625" hidden="1">
      <c r="E94" s="794">
        <v>15</v>
      </c>
      <c r="F94" s="920" cm="1" t="str">
        <f t="array" ref="F94:F94">F93</f>
        <v>0</v>
      </c>
      <c r="T94" s="816" cm="1" t="str">
        <f t="array" ref="T94:T94">T93</f>
        <v>false</v>
      </c>
      <c r="AB94" s="477" t="str">
        <f>AB84&amp;".5"</f>
        <v>5.5</v>
      </c>
      <c r="AC94" s="469" t="s">
        <v>1010</v>
      </c>
      <c r="AD94" s="477" t="s">
        <v>986</v>
      </c>
      <c r="AE94" s="86">
        <f>(AE38*2+AE52+AE66-AE80)/2</f>
        <v>0</v>
      </c>
      <c r="AF94" s="86">
        <f>(AF38*2+AF52+AF66-AF80)/2</f>
        <v>0</v>
      </c>
      <c r="AG94" s="86">
        <f>(AG38*2+AG52+AG66-AG80)/2</f>
        <v>0</v>
      </c>
      <c r="AH94" s="86">
        <f>(AH38*2+AH52+AH66-AH80)/2</f>
        <v>0</v>
      </c>
      <c r="AI94" s="481">
        <f>(AI38*2+AI52+AI66-AI80)/2</f>
        <v>0</v>
      </c>
      <c r="AJ94" s="1787">
        <f>(AJ38*2+AJ52+AJ66-AJ80)/2</f>
        <v>0</v>
      </c>
      <c r="AK94" s="1787">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87">
        <f>(AT38*2+AT52+AT66-AT80)/2</f>
        <v>0</v>
      </c>
      <c r="AU94" s="1787">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1077</v>
      </c>
    </row>
    <row customHeight="1" ht="14.625" hidden="1">
      <c r="E95" s="794">
        <v>15</v>
      </c>
      <c r="F95" s="920" cm="1" t="str">
        <f t="array" ref="F95:F95">F94</f>
        <v>0</v>
      </c>
      <c r="T95" s="816" cm="1" t="str">
        <f t="array" ref="T95:T95">T94</f>
        <v>false</v>
      </c>
      <c r="AB95" s="477" t="str">
        <f>AB84&amp;".6"</f>
        <v>5.6</v>
      </c>
      <c r="AC95" s="469" t="s">
        <v>1013</v>
      </c>
      <c r="AD95" s="477" t="s">
        <v>986</v>
      </c>
      <c r="AE95" s="86">
        <f>(AE39*2+AE53+AE67-AE81)/2</f>
        <v>0</v>
      </c>
      <c r="AF95" s="86">
        <f>(AF39*2+AF53+AF67-AF81)/2</f>
        <v>0</v>
      </c>
      <c r="AG95" s="86">
        <f>(AG39*2+AG53+AG67-AG81)/2</f>
        <v>0</v>
      </c>
      <c r="AH95" s="86">
        <f>(AH39*2+AH53+AH67-AH81)/2</f>
        <v>0</v>
      </c>
      <c r="AI95" s="481">
        <f>(AI39*2+AI53+AI67-AI81)/2</f>
        <v>0</v>
      </c>
      <c r="AJ95" s="1787">
        <f>(AJ39*2+AJ53+AJ67-AJ81)/2</f>
        <v>0</v>
      </c>
      <c r="AK95" s="1787">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87">
        <f>(AT39*2+AT53+AT67-AT81)/2</f>
        <v>0</v>
      </c>
      <c r="AU95" s="1787">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1078</v>
      </c>
    </row>
    <row customHeight="1" ht="14.625" hidden="1">
      <c r="E96" s="794">
        <v>15</v>
      </c>
      <c r="F96" s="920" cm="1" t="str">
        <f t="array" ref="F96:F96">F95</f>
        <v>0</v>
      </c>
      <c r="T96" s="816" cm="1" t="str">
        <f t="array" ref="T96:T96">T95</f>
        <v>false</v>
      </c>
      <c r="AB96" s="477" t="str">
        <f>AB84&amp;".7"</f>
        <v>5.7</v>
      </c>
      <c r="AC96" s="469" t="s">
        <v>1016</v>
      </c>
      <c r="AD96" s="477" t="s">
        <v>986</v>
      </c>
      <c r="AE96" s="86">
        <f>(AE40*2+AE54+AE68-AE82)/2</f>
        <v>0</v>
      </c>
      <c r="AF96" s="86">
        <f>(AF40*2+AF54+AF68-AF82)/2</f>
        <v>0</v>
      </c>
      <c r="AG96" s="86">
        <f>(AG40*2+AG54+AG68-AG82)/2</f>
        <v>0</v>
      </c>
      <c r="AH96" s="86">
        <f>(AH40*2+AH54+AH68-AH82)/2</f>
        <v>0</v>
      </c>
      <c r="AI96" s="481">
        <f>(AI40*2+AI54+AI68-AI82)/2</f>
        <v>0</v>
      </c>
      <c r="AJ96" s="1787">
        <f>(AJ40*2+AJ54+AJ68-AJ82)/2</f>
        <v>0</v>
      </c>
      <c r="AK96" s="1787">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87">
        <f>(AT40*2+AT54+AT68-AT82)/2</f>
        <v>0</v>
      </c>
      <c r="AU96" s="1787">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1079</v>
      </c>
    </row>
    <row customHeight="1" ht="14.625" hidden="1">
      <c r="E97" s="794">
        <v>15</v>
      </c>
      <c r="F97" s="920" cm="1" t="str">
        <f t="array" ref="F97:F97">F96</f>
        <v>0</v>
      </c>
      <c r="T97" s="816" cm="1" t="str">
        <f t="array" ref="T97:T97">T96</f>
        <v>false</v>
      </c>
      <c r="AB97" s="477" t="str">
        <f>AB84&amp;".8"</f>
        <v>5.8</v>
      </c>
      <c r="AC97" s="469" t="s">
        <v>1019</v>
      </c>
      <c r="AD97" s="477" t="s">
        <v>986</v>
      </c>
      <c r="AE97" s="86">
        <f>(AE41*2+AE55+AE69-AE83)/2</f>
        <v>0</v>
      </c>
      <c r="AF97" s="86">
        <f>(AF41*2+AF55+AF69-AF83)/2</f>
        <v>0</v>
      </c>
      <c r="AG97" s="86">
        <f>(AG41*2+AG55+AG69-AG83)/2</f>
        <v>0</v>
      </c>
      <c r="AH97" s="86">
        <f>(AH41*2+AH55+AH69-AH83)/2</f>
        <v>0</v>
      </c>
      <c r="AI97" s="481">
        <f>(AI41*2+AI55+AI69-AI83)/2</f>
        <v>0</v>
      </c>
      <c r="AJ97" s="1787">
        <f>(AJ41*2+AJ55+AJ69-AJ83)/2</f>
        <v>0</v>
      </c>
      <c r="AK97" s="1787">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87">
        <f>(AT41*2+AT55+AT69-AT83)/2</f>
        <v>0</v>
      </c>
      <c r="AU97" s="1787">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1080</v>
      </c>
    </row>
    <row s="214" customFormat="1" customHeight="1" ht="22.23" hidden="1">
      <c r="E98" s="794">
        <v>22.8</v>
      </c>
      <c r="F98" s="920" cm="1" t="str">
        <f t="array" ref="F98:F98">F97</f>
        <v>0</v>
      </c>
      <c r="T98" s="816" cm="1" t="str">
        <f t="array" ref="T98:T98">T97</f>
        <v>false</v>
      </c>
      <c r="AB98" s="277">
        <v>6</v>
      </c>
      <c r="AC98" s="278" t="s">
        <v>1081</v>
      </c>
      <c r="AD98" s="486" t="s">
        <v>485</v>
      </c>
      <c r="AE98" s="103"/>
      <c r="AF98" s="103"/>
      <c r="AG98" s="103"/>
      <c r="AH98" s="103"/>
      <c r="AI98" s="292"/>
      <c r="AJ98" s="1848"/>
      <c r="AK98" s="1848"/>
      <c r="AL98" s="103"/>
      <c r="AM98" s="103"/>
      <c r="AN98" s="103"/>
      <c r="AO98" s="103"/>
      <c r="AP98" s="103"/>
      <c r="AQ98" s="103"/>
      <c r="AR98" s="103"/>
      <c r="AS98" s="292"/>
      <c r="AT98" s="1848"/>
      <c r="AU98" s="1848"/>
      <c r="AV98" s="103"/>
      <c r="AW98" s="103"/>
      <c r="AX98" s="103"/>
      <c r="AY98" s="103"/>
      <c r="AZ98" s="103"/>
      <c r="BA98" s="103"/>
      <c r="BB98" s="103"/>
      <c r="BC98" s="74"/>
      <c r="BF98" s="1171" t="s">
        <v>1082</v>
      </c>
    </row>
    <row customHeight="1" ht="14.625" hidden="1">
      <c r="E99" s="794">
        <v>15</v>
      </c>
      <c r="F99" s="920" cm="1" t="str">
        <f t="array" ref="F99:F99">F98</f>
        <v>0</v>
      </c>
      <c r="T99" s="816" cm="1" t="str">
        <f t="array" ref="T99:T99">T98</f>
        <v>false</v>
      </c>
      <c r="AB99" s="486" t="str">
        <f>AB98&amp;".1"</f>
        <v>6.1</v>
      </c>
      <c r="AC99" s="487" t="s">
        <v>985</v>
      </c>
      <c r="AD99" s="486" t="s">
        <v>485</v>
      </c>
      <c r="AE99" s="62">
        <f>IF(AE85=0,0,AE113/AE85*100)</f>
        <v>0</v>
      </c>
      <c r="AF99" s="62">
        <f>IF(AF85=0,0,AF113/AF85*100)</f>
        <v>0</v>
      </c>
      <c r="AG99" s="62">
        <f>IF(AG85=0,0,AG113/AG85*100)</f>
        <v>0</v>
      </c>
      <c r="AH99" s="62">
        <f>IF(AH85=0,0,AH113/AH85*100)</f>
        <v>0</v>
      </c>
      <c r="AI99" s="280">
        <f>IF(AI85=0,0,AI113/AI85*100)</f>
        <v>0</v>
      </c>
      <c r="AJ99" s="1664">
        <f>IF(AJ85=0,0,AJ113/AJ85*100)</f>
        <v>0</v>
      </c>
      <c r="AK99" s="1664">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64">
        <f>IF(AT85=0,0,AT113/AT85*100)</f>
        <v>0</v>
      </c>
      <c r="AU99" s="1664">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1083</v>
      </c>
    </row>
    <row customHeight="1" ht="14.625" hidden="1">
      <c r="E100" s="794">
        <v>15</v>
      </c>
      <c r="F100" s="920" cm="1" t="str">
        <f t="array" ref="F100:F100">F99</f>
        <v>0</v>
      </c>
      <c r="T100" s="816" cm="1" t="str">
        <f t="array" ref="T100:T100">T99</f>
        <v>false</v>
      </c>
      <c r="AB100" s="486" t="str">
        <f>AB98&amp;".2"</f>
        <v>6.2</v>
      </c>
      <c r="AC100" s="487" t="s">
        <v>988</v>
      </c>
      <c r="AD100" s="486" t="s">
        <v>485</v>
      </c>
      <c r="AE100" s="62">
        <f>IF(AE86=0,0,AE114/AE86*100)</f>
        <v>0</v>
      </c>
      <c r="AF100" s="62">
        <f>IF(AF86=0,0,AF114/AF86*100)</f>
        <v>0</v>
      </c>
      <c r="AG100" s="62">
        <f>IF(AG86=0,0,AG114/AG86*100)</f>
        <v>0</v>
      </c>
      <c r="AH100" s="62">
        <f>IF(AH86=0,0,AH114/AH86*100)</f>
        <v>0</v>
      </c>
      <c r="AI100" s="280">
        <f>IF(AI86=0,0,AI114/AI86*100)</f>
        <v>0</v>
      </c>
      <c r="AJ100" s="1664">
        <f>IF(AJ86=0,0,AJ114/AJ86*100)</f>
        <v>0</v>
      </c>
      <c r="AK100" s="1664">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64">
        <f>IF(AT86=0,0,AT114/AT86*100)</f>
        <v>0</v>
      </c>
      <c r="AU100" s="1664">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1084</v>
      </c>
    </row>
    <row customHeight="1" ht="14.625" hidden="1">
      <c r="E101" s="794">
        <v>15</v>
      </c>
      <c r="F101" s="920" cm="1" t="str">
        <f t="array" ref="F101:F101">F100</f>
        <v>0</v>
      </c>
      <c r="T101" s="816" cm="1" t="str">
        <f t="array" ref="T101:T101">T100</f>
        <v>false</v>
      </c>
      <c r="AB101" s="486" t="str">
        <f>AB98&amp;".3"</f>
        <v>6.3</v>
      </c>
      <c r="AC101" s="487" t="s">
        <v>990</v>
      </c>
      <c r="AD101" s="486" t="s">
        <v>485</v>
      </c>
      <c r="AE101" s="62">
        <f>IF(AE87=0,0,AE115/AE87*100)</f>
        <v>0</v>
      </c>
      <c r="AF101" s="62">
        <f>IF(AF87=0,0,AF115/AF87*100)</f>
        <v>0</v>
      </c>
      <c r="AG101" s="62">
        <f>IF(AG87=0,0,AG115/AG87*100)</f>
        <v>0</v>
      </c>
      <c r="AH101" s="62">
        <f>IF(AH87=0,0,AH115/AH87*100)</f>
        <v>0</v>
      </c>
      <c r="AI101" s="280">
        <f>IF(AI87=0,0,AI115/AI87*100)</f>
        <v>0</v>
      </c>
      <c r="AJ101" s="1664">
        <f>IF(AJ87=0,0,AJ115/AJ87*100)</f>
        <v>0</v>
      </c>
      <c r="AK101" s="1664">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64">
        <f>IF(AT87=0,0,AT115/AT87*100)</f>
        <v>0</v>
      </c>
      <c r="AU101" s="1664">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1085</v>
      </c>
    </row>
    <row customHeight="1" ht="14.625" hidden="1">
      <c r="E102" s="794">
        <v>15</v>
      </c>
      <c r="F102" s="920" cm="1" t="str">
        <f t="array" ref="F102:F102">F101</f>
        <v>0</v>
      </c>
      <c r="T102" s="816" cm="1" t="str">
        <f t="array" ref="T102:T102">T101</f>
        <v>false</v>
      </c>
      <c r="AB102" s="486" t="str">
        <f>AB98&amp;".4"</f>
        <v>6.4</v>
      </c>
      <c r="AC102" s="487" t="s">
        <v>992</v>
      </c>
      <c r="AD102" s="486" t="s">
        <v>485</v>
      </c>
      <c r="AE102" s="62">
        <f>IF(AE88=0,0,AE116/AE88*100)</f>
        <v>0</v>
      </c>
      <c r="AF102" s="62">
        <f>IF(AF88=0,0,AF116/AF88*100)</f>
        <v>0</v>
      </c>
      <c r="AG102" s="62">
        <f>IF(AG88=0,0,AG116/AG88*100)</f>
        <v>0</v>
      </c>
      <c r="AH102" s="62">
        <f>IF(AH88=0,0,AH116/AH88*100)</f>
        <v>0</v>
      </c>
      <c r="AI102" s="280">
        <f>IF(AI88=0,0,AI116/AI88*100)</f>
        <v>0</v>
      </c>
      <c r="AJ102" s="1664">
        <f>IF(AJ88=0,0,AJ116/AJ88*100)</f>
        <v>0</v>
      </c>
      <c r="AK102" s="1664">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64">
        <f>IF(AT88=0,0,AT116/AT88*100)</f>
        <v>0</v>
      </c>
      <c r="AU102" s="1664">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1086</v>
      </c>
    </row>
    <row customHeight="1" ht="14.625" hidden="1">
      <c r="E103" s="794">
        <v>15</v>
      </c>
      <c r="F103" s="920" cm="1" t="str">
        <f t="array" ref="F103:F103">F102</f>
        <v>0</v>
      </c>
      <c r="T103" s="816" cm="1" t="str">
        <f t="array" ref="T103:T103">T102</f>
        <v>false</v>
      </c>
      <c r="AB103" s="486" t="str">
        <f>AB102&amp;".1"</f>
        <v>6.4.1</v>
      </c>
      <c r="AC103" s="488" t="s">
        <v>995</v>
      </c>
      <c r="AD103" s="486" t="s">
        <v>485</v>
      </c>
      <c r="AE103" s="62">
        <f>IF(AE89=0,0,AE117/AE89*100)</f>
        <v>0</v>
      </c>
      <c r="AF103" s="62">
        <f>IF(AF89=0,0,AF117/AF89*100)</f>
        <v>0</v>
      </c>
      <c r="AG103" s="62">
        <f>IF(AG89=0,0,AG117/AG89*100)</f>
        <v>0</v>
      </c>
      <c r="AH103" s="62">
        <f>IF(AH89=0,0,AH117/AH89*100)</f>
        <v>0</v>
      </c>
      <c r="AI103" s="280">
        <f>IF(AI89=0,0,AI117/AI89*100)</f>
        <v>0</v>
      </c>
      <c r="AJ103" s="1664">
        <f>IF(AJ89=0,0,AJ117/AJ89*100)</f>
        <v>0</v>
      </c>
      <c r="AK103" s="1664">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64">
        <f>IF(AT89=0,0,AT117/AT89*100)</f>
        <v>0</v>
      </c>
      <c r="AU103" s="1664">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1087</v>
      </c>
    </row>
    <row customHeight="1" ht="14.625" hidden="1">
      <c r="E104" s="794">
        <v>15</v>
      </c>
      <c r="F104" s="920" cm="1" t="str">
        <f t="array" ref="F104:F104">F103</f>
        <v>0</v>
      </c>
      <c r="T104" s="816" cm="1" t="str">
        <f t="array" ref="T104:T104">T103</f>
        <v>false</v>
      </c>
      <c r="AB104" s="486" t="str">
        <f>AB102&amp;".2"</f>
        <v>6.4.2</v>
      </c>
      <c r="AC104" s="488" t="s">
        <v>998</v>
      </c>
      <c r="AD104" s="486" t="s">
        <v>485</v>
      </c>
      <c r="AE104" s="62">
        <f>IF(AE90=0,0,AE118/AE90*100)</f>
        <v>0</v>
      </c>
      <c r="AF104" s="62">
        <f>IF(AF90=0,0,AF118/AF90*100)</f>
        <v>0</v>
      </c>
      <c r="AG104" s="62">
        <f>IF(AG90=0,0,AG118/AG90*100)</f>
        <v>0</v>
      </c>
      <c r="AH104" s="62">
        <f>IF(AH90=0,0,AH118/AH90*100)</f>
        <v>0</v>
      </c>
      <c r="AI104" s="280">
        <f>IF(AI90=0,0,AI118/AI90*100)</f>
        <v>0</v>
      </c>
      <c r="AJ104" s="1664">
        <f>IF(AJ90=0,0,AJ118/AJ90*100)</f>
        <v>0</v>
      </c>
      <c r="AK104" s="1664">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64">
        <f>IF(AT90=0,0,AT118/AT90*100)</f>
        <v>0</v>
      </c>
      <c r="AU104" s="1664">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1088</v>
      </c>
    </row>
    <row customHeight="1" ht="14.625" hidden="1">
      <c r="E105" s="794">
        <v>15</v>
      </c>
      <c r="F105" s="920" cm="1" t="str">
        <f t="array" ref="F105:F105">F104</f>
        <v>0</v>
      </c>
      <c r="T105" s="816" cm="1" t="str">
        <f t="array" ref="T105:T105">T104</f>
        <v>false</v>
      </c>
      <c r="AB105" s="486" t="str">
        <f>AB102&amp;".3"</f>
        <v>6.4.3</v>
      </c>
      <c r="AC105" s="488" t="s">
        <v>1001</v>
      </c>
      <c r="AD105" s="486" t="s">
        <v>485</v>
      </c>
      <c r="AE105" s="62">
        <f>IF(AE91=0,0,AE119/AE91*100)</f>
        <v>0</v>
      </c>
      <c r="AF105" s="62">
        <f>IF(AF91=0,0,AF119/AF91*100)</f>
        <v>0</v>
      </c>
      <c r="AG105" s="62">
        <f>IF(AG91=0,0,AG119/AG91*100)</f>
        <v>0</v>
      </c>
      <c r="AH105" s="62">
        <f>IF(AH91=0,0,AH119/AH91*100)</f>
        <v>0</v>
      </c>
      <c r="AI105" s="280">
        <f>IF(AI91=0,0,AI119/AI91*100)</f>
        <v>0</v>
      </c>
      <c r="AJ105" s="1664">
        <f>IF(AJ91=0,0,AJ119/AJ91*100)</f>
        <v>0</v>
      </c>
      <c r="AK105" s="1664">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64">
        <f>IF(AT91=0,0,AT119/AT91*100)</f>
        <v>0</v>
      </c>
      <c r="AU105" s="1664">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1089</v>
      </c>
    </row>
    <row customHeight="1" ht="14.625" hidden="1">
      <c r="E106" s="794">
        <v>15</v>
      </c>
      <c r="F106" s="920" cm="1" t="str">
        <f t="array" ref="F106:F106">F105</f>
        <v>0</v>
      </c>
      <c r="T106" s="816" cm="1" t="str">
        <f t="array" ref="T106:T106">T105</f>
        <v>false</v>
      </c>
      <c r="AB106" s="486" t="str">
        <f>AB102&amp;".4"</f>
        <v>6.4.4</v>
      </c>
      <c r="AC106" s="488" t="s">
        <v>1004</v>
      </c>
      <c r="AD106" s="486" t="s">
        <v>485</v>
      </c>
      <c r="AE106" s="62">
        <f>IF(AE92=0,0,AE120/AE92*100)</f>
        <v>0</v>
      </c>
      <c r="AF106" s="62">
        <f>IF(AF92=0,0,AF120/AF92*100)</f>
        <v>0</v>
      </c>
      <c r="AG106" s="62">
        <f>IF(AG92=0,0,AG120/AG92*100)</f>
        <v>0</v>
      </c>
      <c r="AH106" s="62">
        <f>IF(AH92=0,0,AH120/AH92*100)</f>
        <v>0</v>
      </c>
      <c r="AI106" s="280">
        <f>IF(AI92=0,0,AI120/AI92*100)</f>
        <v>0</v>
      </c>
      <c r="AJ106" s="1664">
        <f>IF(AJ92=0,0,AJ120/AJ92*100)</f>
        <v>0</v>
      </c>
      <c r="AK106" s="1664">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64">
        <f>IF(AT92=0,0,AT120/AT92*100)</f>
        <v>0</v>
      </c>
      <c r="AU106" s="1664">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1090</v>
      </c>
    </row>
    <row customHeight="1" ht="14.625" hidden="1">
      <c r="E107" s="794">
        <v>15</v>
      </c>
      <c r="F107" s="920" cm="1" t="str">
        <f t="array" ref="F107:F107">F106</f>
        <v>0</v>
      </c>
      <c r="T107" s="816" cm="1" t="str">
        <f t="array" ref="T107:T107">T106</f>
        <v>false</v>
      </c>
      <c r="AB107" s="486" t="str">
        <f>AB102&amp;".5"</f>
        <v>6.4.5</v>
      </c>
      <c r="AC107" s="488" t="s">
        <v>1007</v>
      </c>
      <c r="AD107" s="486" t="s">
        <v>485</v>
      </c>
      <c r="AE107" s="62">
        <f>IF(AE93=0,0,AE121/AE93*100)</f>
        <v>0</v>
      </c>
      <c r="AF107" s="62">
        <f>IF(AF93=0,0,AF121/AF93*100)</f>
        <v>0</v>
      </c>
      <c r="AG107" s="62">
        <f>IF(AG93=0,0,AG121/AG93*100)</f>
        <v>0</v>
      </c>
      <c r="AH107" s="62">
        <f>IF(AH93=0,0,AH121/AH93*100)</f>
        <v>0</v>
      </c>
      <c r="AI107" s="280">
        <f>IF(AI93=0,0,AI121/AI93*100)</f>
        <v>0</v>
      </c>
      <c r="AJ107" s="1664">
        <f>IF(AJ93=0,0,AJ121/AJ93*100)</f>
        <v>0</v>
      </c>
      <c r="AK107" s="1664">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64">
        <f>IF(AT93=0,0,AT121/AT93*100)</f>
        <v>0</v>
      </c>
      <c r="AU107" s="1664">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1091</v>
      </c>
    </row>
    <row customHeight="1" ht="14.625" hidden="1">
      <c r="E108" s="794">
        <v>15</v>
      </c>
      <c r="F108" s="920" cm="1" t="str">
        <f t="array" ref="F108:F108">F107</f>
        <v>0</v>
      </c>
      <c r="T108" s="816" cm="1" t="str">
        <f t="array" ref="T108:T108">T107</f>
        <v>false</v>
      </c>
      <c r="AB108" s="486" t="str">
        <f>AB98&amp;".5"</f>
        <v>6.5</v>
      </c>
      <c r="AC108" s="487" t="s">
        <v>1010</v>
      </c>
      <c r="AD108" s="486" t="s">
        <v>485</v>
      </c>
      <c r="AE108" s="62">
        <f>IF(AE94=0,0,AE122/AE94*100)</f>
        <v>0</v>
      </c>
      <c r="AF108" s="62">
        <f>IF(AF94=0,0,AF122/AF94*100)</f>
        <v>0</v>
      </c>
      <c r="AG108" s="62">
        <f>IF(AG94=0,0,AG122/AG94*100)</f>
        <v>0</v>
      </c>
      <c r="AH108" s="62">
        <f>IF(AH94=0,0,AH122/AH94*100)</f>
        <v>0</v>
      </c>
      <c r="AI108" s="280">
        <f>IF(AI94=0,0,AI122/AI94*100)</f>
        <v>0</v>
      </c>
      <c r="AJ108" s="1664">
        <f>IF(AJ94=0,0,AJ122/AJ94*100)</f>
        <v>0</v>
      </c>
      <c r="AK108" s="1664">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64">
        <f>IF(AT94=0,0,AT122/AT94*100)</f>
        <v>0</v>
      </c>
      <c r="AU108" s="1664">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1092</v>
      </c>
    </row>
    <row customHeight="1" ht="14.625" hidden="1">
      <c r="E109" s="794">
        <v>15</v>
      </c>
      <c r="F109" s="920" cm="1" t="str">
        <f t="array" ref="F109:F109">F108</f>
        <v>0</v>
      </c>
      <c r="T109" s="816" cm="1" t="str">
        <f t="array" ref="T109:T109">T108</f>
        <v>false</v>
      </c>
      <c r="AB109" s="486" t="str">
        <f>AB98&amp;".6"</f>
        <v>6.6</v>
      </c>
      <c r="AC109" s="487" t="s">
        <v>1013</v>
      </c>
      <c r="AD109" s="486" t="s">
        <v>485</v>
      </c>
      <c r="AE109" s="62">
        <f>IF(AE95=0,0,AE123/AE95*100)</f>
        <v>0</v>
      </c>
      <c r="AF109" s="62">
        <f>IF(AF95=0,0,AF123/AF95*100)</f>
        <v>0</v>
      </c>
      <c r="AG109" s="62">
        <f>IF(AG95=0,0,AG123/AG95*100)</f>
        <v>0</v>
      </c>
      <c r="AH109" s="62">
        <f>IF(AH95=0,0,AH123/AH95*100)</f>
        <v>0</v>
      </c>
      <c r="AI109" s="280">
        <f>IF(AI95=0,0,AI123/AI95*100)</f>
        <v>0</v>
      </c>
      <c r="AJ109" s="1664">
        <f>IF(AJ95=0,0,AJ123/AJ95*100)</f>
        <v>0</v>
      </c>
      <c r="AK109" s="1664">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64">
        <f>IF(AT95=0,0,AT123/AT95*100)</f>
        <v>0</v>
      </c>
      <c r="AU109" s="1664">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1093</v>
      </c>
    </row>
    <row customHeight="1" ht="14.625" hidden="1">
      <c r="E110" s="794">
        <v>15</v>
      </c>
      <c r="F110" s="920" cm="1" t="str">
        <f t="array" ref="F110:F110">F109</f>
        <v>0</v>
      </c>
      <c r="T110" s="816" cm="1" t="str">
        <f t="array" ref="T110:T110">T109</f>
        <v>false</v>
      </c>
      <c r="AB110" s="486" t="str">
        <f>AB98&amp;".7"</f>
        <v>6.7</v>
      </c>
      <c r="AC110" s="487" t="s">
        <v>1016</v>
      </c>
      <c r="AD110" s="486" t="s">
        <v>485</v>
      </c>
      <c r="AE110" s="62">
        <f>IF(AE96=0,0,AE124/AE96*100)</f>
        <v>0</v>
      </c>
      <c r="AF110" s="62">
        <f>IF(AF96=0,0,AF124/AF96*100)</f>
        <v>0</v>
      </c>
      <c r="AG110" s="62">
        <f>IF(AG96=0,0,AG124/AG96*100)</f>
        <v>0</v>
      </c>
      <c r="AH110" s="62">
        <f>IF(AH96=0,0,AH124/AH96*100)</f>
        <v>0</v>
      </c>
      <c r="AI110" s="280">
        <f>IF(AI96=0,0,AI124/AI96*100)</f>
        <v>0</v>
      </c>
      <c r="AJ110" s="1664">
        <f>IF(AJ96=0,0,AJ124/AJ96*100)</f>
        <v>0</v>
      </c>
      <c r="AK110" s="1664">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64">
        <f>IF(AT96=0,0,AT124/AT96*100)</f>
        <v>0</v>
      </c>
      <c r="AU110" s="1664">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1094</v>
      </c>
    </row>
    <row customHeight="1" ht="14.625" hidden="1">
      <c r="E111" s="794">
        <v>15</v>
      </c>
      <c r="F111" s="920" cm="1" t="str">
        <f t="array" ref="F111:F111">F110</f>
        <v>0</v>
      </c>
      <c r="T111" s="816" cm="1" t="str">
        <f t="array" ref="T111:T111">T110</f>
        <v>false</v>
      </c>
      <c r="AB111" s="486" t="str">
        <f>AB98&amp;".8"</f>
        <v>6.8</v>
      </c>
      <c r="AC111" s="487" t="s">
        <v>1019</v>
      </c>
      <c r="AD111" s="486" t="s">
        <v>485</v>
      </c>
      <c r="AE111" s="62">
        <f>IF(AE97=0,0,AE125/AE97*100)</f>
        <v>0</v>
      </c>
      <c r="AF111" s="62">
        <f>IF(AF97=0,0,AF125/AF97*100)</f>
        <v>0</v>
      </c>
      <c r="AG111" s="62">
        <f>IF(AG97=0,0,AG125/AG97*100)</f>
        <v>0</v>
      </c>
      <c r="AH111" s="62">
        <f>IF(AH97=0,0,AH125/AH97*100)</f>
        <v>0</v>
      </c>
      <c r="AI111" s="280">
        <f>IF(AI97=0,0,AI125/AI97*100)</f>
        <v>0</v>
      </c>
      <c r="AJ111" s="1664">
        <f>IF(AJ97=0,0,AJ125/AJ97*100)</f>
        <v>0</v>
      </c>
      <c r="AK111" s="1664">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64">
        <f>IF(AT97=0,0,AT125/AT97*100)</f>
        <v>0</v>
      </c>
      <c r="AU111" s="1664">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1095</v>
      </c>
    </row>
    <row s="214" customFormat="1" customHeight="1" ht="14.625" hidden="1">
      <c r="E112" s="794">
        <v>15</v>
      </c>
      <c r="F112" s="920" cm="1" t="str">
        <f t="array" ref="F112:F112">F111</f>
        <v>0</v>
      </c>
      <c r="G112" s="736" t="s">
        <v>1096</v>
      </c>
      <c r="T112" s="816" cm="1" t="str">
        <f t="array" ref="T112:T112">T111</f>
        <v>false</v>
      </c>
      <c r="AB112" s="277">
        <v>7</v>
      </c>
      <c r="AC112" s="278" t="s">
        <v>1097</v>
      </c>
      <c r="AD112" s="153" t="s">
        <v>799</v>
      </c>
      <c r="AE112" s="103">
        <f>SUM(AE113:AE116)+SUM(AE122:AE125)</f>
        <v>0</v>
      </c>
      <c r="AF112" s="103">
        <f>SUM(AF113:AF116)+SUM(AF122:AF125)</f>
        <v>0</v>
      </c>
      <c r="AG112" s="103">
        <f>SUM(AG113:AG116)+SUM(AG122:AG125)</f>
        <v>0</v>
      </c>
      <c r="AH112" s="103">
        <f>SUM(AH113:AH116)+SUM(AH122:AH125)</f>
        <v>0</v>
      </c>
      <c r="AI112" s="292">
        <f>SUM(AI113:AI116)+SUM(AI122:AI125)</f>
        <v>0</v>
      </c>
      <c r="AJ112" s="1848">
        <f>SUM(AJ113:AJ116)+SUM(AJ122:AJ125)</f>
        <v>0</v>
      </c>
      <c r="AK112" s="1848">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48">
        <f>SUM(AT113:AT116)+SUM(AT122:AT125)</f>
        <v>0</v>
      </c>
      <c r="AU112" s="1848">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1098</v>
      </c>
    </row>
    <row customHeight="1" ht="14.625" hidden="1">
      <c r="E113" s="794">
        <v>15</v>
      </c>
      <c r="F113" s="920" cm="1" t="str">
        <f t="array" ref="F113:F113">F112</f>
        <v>0</v>
      </c>
      <c r="T113" s="816" cm="1" t="str">
        <f t="array" ref="T113:T113">T112</f>
        <v>false</v>
      </c>
      <c r="AB113" s="486" t="str">
        <f>AB112&amp;".1"</f>
        <v>7.1</v>
      </c>
      <c r="AC113" s="487" t="s">
        <v>985</v>
      </c>
      <c r="AD113" s="486" t="s">
        <v>986</v>
      </c>
      <c r="AE113" s="62"/>
      <c r="AF113" s="62"/>
      <c r="AG113" s="62"/>
      <c r="AH113" s="62"/>
      <c r="AI113" s="280"/>
      <c r="AJ113" s="1664"/>
      <c r="AK113" s="1664"/>
      <c r="AL113" s="62"/>
      <c r="AM113" s="62"/>
      <c r="AN113" s="62"/>
      <c r="AO113" s="62"/>
      <c r="AP113" s="62"/>
      <c r="AQ113" s="62"/>
      <c r="AR113" s="62"/>
      <c r="AS113" s="280"/>
      <c r="AT113" s="1664"/>
      <c r="AU113" s="1664"/>
      <c r="AV113" s="62"/>
      <c r="AW113" s="62"/>
      <c r="AX113" s="62"/>
      <c r="AY113" s="62"/>
      <c r="AZ113" s="62"/>
      <c r="BA113" s="62"/>
      <c r="BB113" s="62"/>
      <c r="BC113" s="74"/>
      <c r="BF113" s="1171" t="s">
        <v>1099</v>
      </c>
    </row>
    <row customHeight="1" ht="14.625" hidden="1">
      <c r="E114" s="794">
        <v>15</v>
      </c>
      <c r="F114" s="920" cm="1" t="str">
        <f t="array" ref="F114:F114">F113</f>
        <v>0</v>
      </c>
      <c r="T114" s="816" cm="1" t="str">
        <f t="array" ref="T114:T114">T113</f>
        <v>false</v>
      </c>
      <c r="AB114" s="486" t="str">
        <f>AB112&amp;".2"</f>
        <v>7.2</v>
      </c>
      <c r="AC114" s="487" t="s">
        <v>988</v>
      </c>
      <c r="AD114" s="486" t="s">
        <v>986</v>
      </c>
      <c r="AE114" s="62"/>
      <c r="AF114" s="62"/>
      <c r="AG114" s="62"/>
      <c r="AH114" s="62"/>
      <c r="AI114" s="280"/>
      <c r="AJ114" s="1664"/>
      <c r="AK114" s="1664"/>
      <c r="AL114" s="62"/>
      <c r="AM114" s="62"/>
      <c r="AN114" s="62"/>
      <c r="AO114" s="62"/>
      <c r="AP114" s="62"/>
      <c r="AQ114" s="62"/>
      <c r="AR114" s="62"/>
      <c r="AS114" s="280"/>
      <c r="AT114" s="1664"/>
      <c r="AU114" s="1664"/>
      <c r="AV114" s="62"/>
      <c r="AW114" s="62"/>
      <c r="AX114" s="62"/>
      <c r="AY114" s="62"/>
      <c r="AZ114" s="62"/>
      <c r="BA114" s="62"/>
      <c r="BB114" s="62"/>
      <c r="BC114" s="74"/>
      <c r="BF114" s="1171" t="s">
        <v>1100</v>
      </c>
    </row>
    <row customHeight="1" ht="14.625" hidden="1">
      <c r="E115" s="794">
        <v>15</v>
      </c>
      <c r="F115" s="920" cm="1" t="str">
        <f t="array" ref="F115:F115">F114</f>
        <v>0</v>
      </c>
      <c r="T115" s="816" cm="1" t="str">
        <f t="array" ref="T115:T115">T114</f>
        <v>false</v>
      </c>
      <c r="AB115" s="486" t="str">
        <f>AB112&amp;".3"</f>
        <v>7.3</v>
      </c>
      <c r="AC115" s="487" t="s">
        <v>990</v>
      </c>
      <c r="AD115" s="486" t="s">
        <v>986</v>
      </c>
      <c r="AE115" s="62"/>
      <c r="AF115" s="62"/>
      <c r="AG115" s="62"/>
      <c r="AH115" s="62"/>
      <c r="AI115" s="280"/>
      <c r="AJ115" s="1664"/>
      <c r="AK115" s="1664"/>
      <c r="AL115" s="62"/>
      <c r="AM115" s="62"/>
      <c r="AN115" s="62"/>
      <c r="AO115" s="62"/>
      <c r="AP115" s="62"/>
      <c r="AQ115" s="62"/>
      <c r="AR115" s="62"/>
      <c r="AS115" s="280"/>
      <c r="AT115" s="1664"/>
      <c r="AU115" s="1664"/>
      <c r="AV115" s="62"/>
      <c r="AW115" s="62"/>
      <c r="AX115" s="62"/>
      <c r="AY115" s="62"/>
      <c r="AZ115" s="62"/>
      <c r="BA115" s="62"/>
      <c r="BB115" s="62"/>
      <c r="BC115" s="74"/>
      <c r="BF115" s="1171" t="s">
        <v>1101</v>
      </c>
    </row>
    <row customHeight="1" ht="14.625" hidden="1">
      <c r="E116" s="794">
        <v>15</v>
      </c>
      <c r="F116" s="920" cm="1" t="str">
        <f t="array" ref="F116:F116">F115</f>
        <v>0</v>
      </c>
      <c r="T116" s="816" cm="1" t="str">
        <f t="array" ref="T116:T116">T115</f>
        <v>false</v>
      </c>
      <c r="AB116" s="486" t="str">
        <f>AB112&amp;".4"</f>
        <v>7.4</v>
      </c>
      <c r="AC116" s="487" t="s">
        <v>992</v>
      </c>
      <c r="AD116" s="486" t="s">
        <v>986</v>
      </c>
      <c r="AE116" s="86">
        <f>SUM(AE117:AE121)</f>
        <v>0</v>
      </c>
      <c r="AF116" s="86">
        <f>SUM(AF117:AF121)</f>
        <v>0</v>
      </c>
      <c r="AG116" s="86">
        <f>SUM(AG117:AG121)</f>
        <v>0</v>
      </c>
      <c r="AH116" s="86">
        <f>SUM(AH117:AH121)</f>
        <v>0</v>
      </c>
      <c r="AI116" s="481">
        <f>SUM(AI117:AI121)</f>
        <v>0</v>
      </c>
      <c r="AJ116" s="1787">
        <f>SUM(AJ117:AJ121)</f>
        <v>0</v>
      </c>
      <c r="AK116" s="1787">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87">
        <f>SUM(AT117:AT121)</f>
        <v>0</v>
      </c>
      <c r="AU116" s="1787">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1102</v>
      </c>
    </row>
    <row customHeight="1" ht="14.625" hidden="1">
      <c r="E117" s="794">
        <v>15</v>
      </c>
      <c r="F117" s="920" cm="1" t="str">
        <f t="array" ref="F117:F117">F116</f>
        <v>0</v>
      </c>
      <c r="T117" s="816" cm="1" t="str">
        <f t="array" ref="T117:T117">T116</f>
        <v>false</v>
      </c>
      <c r="AB117" s="486" t="str">
        <f>AB116&amp;".1"</f>
        <v>7.4.1</v>
      </c>
      <c r="AC117" s="488" t="s">
        <v>995</v>
      </c>
      <c r="AD117" s="486" t="s">
        <v>986</v>
      </c>
      <c r="AE117" s="62"/>
      <c r="AF117" s="62"/>
      <c r="AG117" s="62"/>
      <c r="AH117" s="62"/>
      <c r="AI117" s="280"/>
      <c r="AJ117" s="1664"/>
      <c r="AK117" s="1664"/>
      <c r="AL117" s="62"/>
      <c r="AM117" s="62"/>
      <c r="AN117" s="62"/>
      <c r="AO117" s="62"/>
      <c r="AP117" s="62"/>
      <c r="AQ117" s="62"/>
      <c r="AR117" s="62"/>
      <c r="AS117" s="280"/>
      <c r="AT117" s="1664"/>
      <c r="AU117" s="1664"/>
      <c r="AV117" s="62"/>
      <c r="AW117" s="62"/>
      <c r="AX117" s="62"/>
      <c r="AY117" s="62"/>
      <c r="AZ117" s="62"/>
      <c r="BA117" s="62"/>
      <c r="BB117" s="62"/>
      <c r="BC117" s="74"/>
      <c r="BF117" s="1171" t="s">
        <v>1103</v>
      </c>
    </row>
    <row customHeight="1" ht="14.625" hidden="1">
      <c r="E118" s="794">
        <v>15</v>
      </c>
      <c r="F118" s="920" cm="1" t="str">
        <f t="array" ref="F118:F118">F117</f>
        <v>0</v>
      </c>
      <c r="T118" s="816" cm="1" t="str">
        <f t="array" ref="T118:T118">T117</f>
        <v>false</v>
      </c>
      <c r="AB118" s="486" t="str">
        <f>AB116&amp;".2"</f>
        <v>7.4.2</v>
      </c>
      <c r="AC118" s="488" t="s">
        <v>998</v>
      </c>
      <c r="AD118" s="486" t="s">
        <v>986</v>
      </c>
      <c r="AE118" s="62"/>
      <c r="AF118" s="62"/>
      <c r="AG118" s="62"/>
      <c r="AH118" s="62"/>
      <c r="AI118" s="280"/>
      <c r="AJ118" s="1664"/>
      <c r="AK118" s="1664"/>
      <c r="AL118" s="62"/>
      <c r="AM118" s="62"/>
      <c r="AN118" s="62"/>
      <c r="AO118" s="62"/>
      <c r="AP118" s="62"/>
      <c r="AQ118" s="62"/>
      <c r="AR118" s="62"/>
      <c r="AS118" s="280"/>
      <c r="AT118" s="1664"/>
      <c r="AU118" s="1664"/>
      <c r="AV118" s="62"/>
      <c r="AW118" s="62"/>
      <c r="AX118" s="62"/>
      <c r="AY118" s="62"/>
      <c r="AZ118" s="62"/>
      <c r="BA118" s="62"/>
      <c r="BB118" s="62"/>
      <c r="BC118" s="74"/>
      <c r="BF118" s="1171" t="s">
        <v>1104</v>
      </c>
    </row>
    <row customHeight="1" ht="14.625" hidden="1">
      <c r="E119" s="794">
        <v>15</v>
      </c>
      <c r="F119" s="920" cm="1" t="str">
        <f t="array" ref="F119:F119">F118</f>
        <v>0</v>
      </c>
      <c r="T119" s="816" cm="1" t="str">
        <f t="array" ref="T119:T119">T118</f>
        <v>false</v>
      </c>
      <c r="AB119" s="486" t="str">
        <f>AB116&amp;".3"</f>
        <v>7.4.3</v>
      </c>
      <c r="AC119" s="488" t="s">
        <v>1001</v>
      </c>
      <c r="AD119" s="486" t="s">
        <v>986</v>
      </c>
      <c r="AE119" s="62"/>
      <c r="AF119" s="62"/>
      <c r="AG119" s="62"/>
      <c r="AH119" s="62"/>
      <c r="AI119" s="280"/>
      <c r="AJ119" s="1664"/>
      <c r="AK119" s="1664"/>
      <c r="AL119" s="62"/>
      <c r="AM119" s="62"/>
      <c r="AN119" s="62"/>
      <c r="AO119" s="62"/>
      <c r="AP119" s="62"/>
      <c r="AQ119" s="62"/>
      <c r="AR119" s="62"/>
      <c r="AS119" s="280"/>
      <c r="AT119" s="1664"/>
      <c r="AU119" s="1664"/>
      <c r="AV119" s="62"/>
      <c r="AW119" s="62"/>
      <c r="AX119" s="62"/>
      <c r="AY119" s="62"/>
      <c r="AZ119" s="62"/>
      <c r="BA119" s="62"/>
      <c r="BB119" s="62"/>
      <c r="BC119" s="74"/>
      <c r="BF119" s="1171" t="s">
        <v>1105</v>
      </c>
    </row>
    <row customHeight="1" ht="14.625" hidden="1">
      <c r="E120" s="794">
        <v>15</v>
      </c>
      <c r="F120" s="920" cm="1" t="str">
        <f t="array" ref="F120:F120">F119</f>
        <v>0</v>
      </c>
      <c r="T120" s="816" cm="1" t="str">
        <f t="array" ref="T120:T120">T119</f>
        <v>false</v>
      </c>
      <c r="AB120" s="486" t="str">
        <f>AB116&amp;".4"</f>
        <v>7.4.4</v>
      </c>
      <c r="AC120" s="488" t="s">
        <v>1004</v>
      </c>
      <c r="AD120" s="486" t="s">
        <v>986</v>
      </c>
      <c r="AE120" s="62"/>
      <c r="AF120" s="62"/>
      <c r="AG120" s="62"/>
      <c r="AH120" s="62"/>
      <c r="AI120" s="280"/>
      <c r="AJ120" s="1664"/>
      <c r="AK120" s="1664"/>
      <c r="AL120" s="62"/>
      <c r="AM120" s="62"/>
      <c r="AN120" s="62"/>
      <c r="AO120" s="62"/>
      <c r="AP120" s="62"/>
      <c r="AQ120" s="62"/>
      <c r="AR120" s="62"/>
      <c r="AS120" s="280"/>
      <c r="AT120" s="1664"/>
      <c r="AU120" s="1664"/>
      <c r="AV120" s="62"/>
      <c r="AW120" s="62"/>
      <c r="AX120" s="62"/>
      <c r="AY120" s="62"/>
      <c r="AZ120" s="62"/>
      <c r="BA120" s="62"/>
      <c r="BB120" s="62"/>
      <c r="BC120" s="74"/>
      <c r="BF120" s="1171" t="s">
        <v>1106</v>
      </c>
    </row>
    <row customHeight="1" ht="14.625" hidden="1">
      <c r="E121" s="794">
        <v>15</v>
      </c>
      <c r="F121" s="920" cm="1" t="str">
        <f t="array" ref="F121:F121">F120</f>
        <v>0</v>
      </c>
      <c r="T121" s="816" cm="1" t="str">
        <f t="array" ref="T121:T121">T120</f>
        <v>false</v>
      </c>
      <c r="AB121" s="486" t="str">
        <f>AB116&amp;".5"</f>
        <v>7.4.5</v>
      </c>
      <c r="AC121" s="488" t="s">
        <v>1007</v>
      </c>
      <c r="AD121" s="486" t="s">
        <v>986</v>
      </c>
      <c r="AE121" s="62"/>
      <c r="AF121" s="62"/>
      <c r="AG121" s="62"/>
      <c r="AH121" s="62"/>
      <c r="AI121" s="280"/>
      <c r="AJ121" s="1664"/>
      <c r="AK121" s="1664"/>
      <c r="AL121" s="62"/>
      <c r="AM121" s="62"/>
      <c r="AN121" s="62"/>
      <c r="AO121" s="62"/>
      <c r="AP121" s="62"/>
      <c r="AQ121" s="62"/>
      <c r="AR121" s="62"/>
      <c r="AS121" s="280"/>
      <c r="AT121" s="1664"/>
      <c r="AU121" s="1664"/>
      <c r="AV121" s="62"/>
      <c r="AW121" s="62"/>
      <c r="AX121" s="62"/>
      <c r="AY121" s="62"/>
      <c r="AZ121" s="62"/>
      <c r="BA121" s="62"/>
      <c r="BB121" s="62"/>
      <c r="BC121" s="74"/>
      <c r="BF121" s="1171" t="s">
        <v>1107</v>
      </c>
    </row>
    <row customHeight="1" ht="14.625" hidden="1">
      <c r="E122" s="794">
        <v>15</v>
      </c>
      <c r="F122" s="920" cm="1" t="str">
        <f t="array" ref="F122:F122">F121</f>
        <v>0</v>
      </c>
      <c r="T122" s="816" cm="1" t="str">
        <f t="array" ref="T122:T122">T121</f>
        <v>false</v>
      </c>
      <c r="AB122" s="486" t="str">
        <f>AB112&amp;".5"</f>
        <v>7.5</v>
      </c>
      <c r="AC122" s="487" t="s">
        <v>1010</v>
      </c>
      <c r="AD122" s="486" t="s">
        <v>986</v>
      </c>
      <c r="AE122" s="62"/>
      <c r="AF122" s="62"/>
      <c r="AG122" s="62"/>
      <c r="AH122" s="62"/>
      <c r="AI122" s="280"/>
      <c r="AJ122" s="1664"/>
      <c r="AK122" s="1664"/>
      <c r="AL122" s="62"/>
      <c r="AM122" s="62"/>
      <c r="AN122" s="62"/>
      <c r="AO122" s="62"/>
      <c r="AP122" s="62"/>
      <c r="AQ122" s="62"/>
      <c r="AR122" s="62"/>
      <c r="AS122" s="280"/>
      <c r="AT122" s="1664"/>
      <c r="AU122" s="1664"/>
      <c r="AV122" s="62"/>
      <c r="AW122" s="62"/>
      <c r="AX122" s="62"/>
      <c r="AY122" s="62"/>
      <c r="AZ122" s="62"/>
      <c r="BA122" s="62"/>
      <c r="BB122" s="62"/>
      <c r="BC122" s="74"/>
      <c r="BF122" s="1171" t="s">
        <v>1108</v>
      </c>
    </row>
    <row customHeight="1" ht="14.625" hidden="1">
      <c r="E123" s="794">
        <v>15</v>
      </c>
      <c r="F123" s="920" cm="1" t="str">
        <f t="array" ref="F123:F123">F122</f>
        <v>0</v>
      </c>
      <c r="T123" s="816" cm="1" t="str">
        <f t="array" ref="T123:T123">T122</f>
        <v>false</v>
      </c>
      <c r="AB123" s="486" t="str">
        <f>AB112&amp;".6"</f>
        <v>7.6</v>
      </c>
      <c r="AC123" s="487" t="s">
        <v>1013</v>
      </c>
      <c r="AD123" s="486" t="s">
        <v>986</v>
      </c>
      <c r="AE123" s="62"/>
      <c r="AF123" s="62"/>
      <c r="AG123" s="62"/>
      <c r="AH123" s="62"/>
      <c r="AI123" s="280"/>
      <c r="AJ123" s="1664"/>
      <c r="AK123" s="1664"/>
      <c r="AL123" s="62"/>
      <c r="AM123" s="62"/>
      <c r="AN123" s="62"/>
      <c r="AO123" s="62"/>
      <c r="AP123" s="62"/>
      <c r="AQ123" s="62"/>
      <c r="AR123" s="62"/>
      <c r="AS123" s="280"/>
      <c r="AT123" s="1664"/>
      <c r="AU123" s="1664"/>
      <c r="AV123" s="62"/>
      <c r="AW123" s="62"/>
      <c r="AX123" s="62"/>
      <c r="AY123" s="62"/>
      <c r="AZ123" s="62"/>
      <c r="BA123" s="62"/>
      <c r="BB123" s="62"/>
      <c r="BC123" s="74"/>
      <c r="BF123" s="1171" t="s">
        <v>1109</v>
      </c>
    </row>
    <row customHeight="1" ht="14.625" hidden="1">
      <c r="E124" s="794">
        <v>15</v>
      </c>
      <c r="F124" s="920" cm="1" t="str">
        <f t="array" ref="F124:F124">F123</f>
        <v>0</v>
      </c>
      <c r="T124" s="816" cm="1" t="str">
        <f t="array" ref="T124:T124">T123</f>
        <v>false</v>
      </c>
      <c r="AB124" s="486" t="str">
        <f>AB112&amp;".7"</f>
        <v>7.7</v>
      </c>
      <c r="AC124" s="487" t="s">
        <v>1016</v>
      </c>
      <c r="AD124" s="486" t="s">
        <v>986</v>
      </c>
      <c r="AE124" s="62"/>
      <c r="AF124" s="62"/>
      <c r="AG124" s="62"/>
      <c r="AH124" s="62"/>
      <c r="AI124" s="280"/>
      <c r="AJ124" s="1664"/>
      <c r="AK124" s="1664"/>
      <c r="AL124" s="62"/>
      <c r="AM124" s="62"/>
      <c r="AN124" s="62"/>
      <c r="AO124" s="62"/>
      <c r="AP124" s="62"/>
      <c r="AQ124" s="62"/>
      <c r="AR124" s="62"/>
      <c r="AS124" s="280"/>
      <c r="AT124" s="1664"/>
      <c r="AU124" s="1664"/>
      <c r="AV124" s="62"/>
      <c r="AW124" s="62"/>
      <c r="AX124" s="62"/>
      <c r="AY124" s="62"/>
      <c r="AZ124" s="62"/>
      <c r="BA124" s="62"/>
      <c r="BB124" s="62"/>
      <c r="BC124" s="74"/>
      <c r="BF124" s="1171" t="s">
        <v>1110</v>
      </c>
    </row>
    <row customHeight="1" ht="14.625" hidden="1">
      <c r="E125" s="794">
        <v>15</v>
      </c>
      <c r="F125" s="920" cm="1" t="str">
        <f t="array" ref="F125:F125">F124</f>
        <v>0</v>
      </c>
      <c r="T125" s="816" cm="1" t="str">
        <f t="array" ref="T125:T125">T124</f>
        <v>false</v>
      </c>
      <c r="AB125" s="486" t="str">
        <f>AB112&amp;".8"</f>
        <v>7.8</v>
      </c>
      <c r="AC125" s="487" t="s">
        <v>1019</v>
      </c>
      <c r="AD125" s="486" t="s">
        <v>986</v>
      </c>
      <c r="AE125" s="62"/>
      <c r="AF125" s="62"/>
      <c r="AG125" s="62"/>
      <c r="AH125" s="62"/>
      <c r="AI125" s="280"/>
      <c r="AJ125" s="1664"/>
      <c r="AK125" s="1664"/>
      <c r="AL125" s="62"/>
      <c r="AM125" s="62"/>
      <c r="AN125" s="62"/>
      <c r="AO125" s="62"/>
      <c r="AP125" s="62"/>
      <c r="AQ125" s="62"/>
      <c r="AR125" s="62"/>
      <c r="AS125" s="280"/>
      <c r="AT125" s="1664"/>
      <c r="AU125" s="1664"/>
      <c r="AV125" s="62"/>
      <c r="AW125" s="62"/>
      <c r="AX125" s="62"/>
      <c r="AY125" s="62"/>
      <c r="AZ125" s="62"/>
      <c r="BA125" s="62"/>
      <c r="BB125" s="62"/>
      <c r="BC125" s="74"/>
      <c r="BF125" s="1171" t="s">
        <v>1111</v>
      </c>
    </row>
    <row s="1642" customFormat="1" customHeight="1" ht="10.5">
      <c r="A126" s="1498"/>
      <c r="B126" s="925"/>
      <c r="C126" s="1498"/>
      <c r="D126" s="1498"/>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98"/>
      <c r="V126" s="172" cm="1" t="str">
        <f t="array" ref="V126:V126">'ХВС, ТН'!$AB$40</f>
        <v>Тариф 1 (Теплоснабжение) - Тарифы на услуги по передаче тепловой энергии, теплоносителя (Не определено)</v>
      </c>
      <c r="W126" s="1498"/>
      <c r="X126" s="156" t="s">
        <v>337</v>
      </c>
      <c r="Y126" s="1498"/>
      <c r="Z126" s="1498"/>
      <c r="AA126" s="935"/>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983</v>
      </c>
      <c r="AD127" s="153" t="s">
        <v>799</v>
      </c>
      <c r="AE127" s="1863">
        <f>SUM(AE128:AE131)+SUM(AE137:AE140)</f>
        <v>0</v>
      </c>
      <c r="AF127" s="1863">
        <f>SUM(AF128:AF131)+SUM(AF137:AF140)</f>
        <v>0</v>
      </c>
      <c r="AG127" s="1863">
        <f>SUM(AG128:AG131)+SUM(AG137:AG140)</f>
        <v>0</v>
      </c>
      <c r="AH127" s="1863">
        <f>SUM(AH128:AH131)+SUM(AH137:AH140)</f>
        <v>0</v>
      </c>
      <c r="AI127" s="292">
        <f>SUM(AI128:AI131)+SUM(AI137:AI140)</f>
        <v>0</v>
      </c>
      <c r="AJ127" s="1848">
        <f>SUM(AJ128:AJ131)+SUM(AJ137:AJ140)</f>
        <v>0</v>
      </c>
      <c r="AK127" s="1848">
        <f>SUM(AK128:AK131)+SUM(AK137:AK140)</f>
        <v>0</v>
      </c>
      <c r="AL127" s="1863">
        <f>SUM(AL128:AL131)+SUM(AL137:AL140)</f>
        <v>0</v>
      </c>
      <c r="AM127" s="1863">
        <f>SUM(AM128:AM131)+SUM(AM137:AM140)</f>
        <v>0</v>
      </c>
      <c r="AN127" s="1863">
        <f>SUM(AN128:AN131)+SUM(AN137:AN140)</f>
        <v>0</v>
      </c>
      <c r="AO127" s="1863">
        <f>SUM(AO128:AO131)+SUM(AO137:AO140)</f>
        <v>0</v>
      </c>
      <c r="AP127" s="1863">
        <f>SUM(AP128:AP131)+SUM(AP137:AP140)</f>
        <v>0</v>
      </c>
      <c r="AQ127" s="1863">
        <f>SUM(AQ128:AQ131)+SUM(AQ137:AQ140)</f>
        <v>0</v>
      </c>
      <c r="AR127" s="1863">
        <f>SUM(AR128:AR131)+SUM(AR137:AR140)</f>
        <v>0</v>
      </c>
      <c r="AS127" s="292">
        <f>SUM(AS128:AS131)+SUM(AS137:AS140)</f>
        <v>0</v>
      </c>
      <c r="AT127" s="1848">
        <f>SUM(AT128:AT131)+SUM(AT137:AT140)</f>
        <v>0</v>
      </c>
      <c r="AU127" s="1848">
        <f>SUM(AU128:AU131)+SUM(AU137:AU140)</f>
        <v>0</v>
      </c>
      <c r="AV127" s="1863">
        <f>SUM(AV128:AV131)+SUM(AV137:AV140)</f>
        <v>0</v>
      </c>
      <c r="AW127" s="1863">
        <f>SUM(AW128:AW131)+SUM(AW137:AW140)</f>
        <v>0</v>
      </c>
      <c r="AX127" s="1863">
        <f>SUM(AX128:AX131)+SUM(AX137:AX140)</f>
        <v>0</v>
      </c>
      <c r="AY127" s="1863">
        <f>SUM(AY128:AY131)+SUM(AY137:AY140)</f>
        <v>0</v>
      </c>
      <c r="AZ127" s="1863">
        <f>SUM(AZ128:AZ131)+SUM(AZ137:AZ140)</f>
        <v>0</v>
      </c>
      <c r="BA127" s="1863">
        <f>SUM(BA128:BA131)+SUM(BA137:BA140)</f>
        <v>0</v>
      </c>
      <c r="BB127" s="1863">
        <f>SUM(BB128:BB131)+SUM(BB137:BB140)</f>
        <v>0</v>
      </c>
      <c r="BC127" s="1792"/>
      <c r="BD127" s="214"/>
      <c r="BE127" s="214"/>
      <c r="BF127" s="1171" t="s">
        <v>984</v>
      </c>
    </row>
    <row s="1642" customFormat="1" customHeight="1" ht="14.25">
      <c r="A128" s="1498"/>
      <c r="B128" s="925"/>
      <c r="C128" s="1498"/>
      <c r="D128" s="1498"/>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98"/>
      <c r="V128" s="1498"/>
      <c r="W128" s="1498"/>
      <c r="X128" s="1498"/>
      <c r="Y128" s="1498"/>
      <c r="Z128" s="1498"/>
      <c r="AA128" s="935"/>
      <c r="AB128" s="486" t="s">
        <v>436</v>
      </c>
      <c r="AC128" s="487" t="s">
        <v>985</v>
      </c>
      <c r="AD128" s="486" t="s">
        <v>986</v>
      </c>
      <c r="AE128" s="1680"/>
      <c r="AF128" s="1680"/>
      <c r="AG128" s="1680"/>
      <c r="AH128" s="1680"/>
      <c r="AI128" s="280"/>
      <c r="AJ128" s="1664"/>
      <c r="AK128" s="1664"/>
      <c r="AL128" s="1680"/>
      <c r="AM128" s="1680"/>
      <c r="AN128" s="1680"/>
      <c r="AO128" s="1680"/>
      <c r="AP128" s="1680"/>
      <c r="AQ128" s="1680"/>
      <c r="AR128" s="1680"/>
      <c r="AS128" s="280"/>
      <c r="AT128" s="1664"/>
      <c r="AU128" s="1664"/>
      <c r="AV128" s="1680"/>
      <c r="AW128" s="1680"/>
      <c r="AX128" s="1680"/>
      <c r="AY128" s="1680"/>
      <c r="AZ128" s="1680"/>
      <c r="BA128" s="1680"/>
      <c r="BB128" s="1680"/>
      <c r="BC128" s="1792"/>
      <c r="BD128" s="935"/>
      <c r="BE128" s="935"/>
      <c r="BF128" s="1171" t="s">
        <v>987</v>
      </c>
    </row>
    <row s="1642" customFormat="1" customHeight="1" ht="14.25">
      <c r="A129" s="1498"/>
      <c r="B129" s="925"/>
      <c r="C129" s="1498"/>
      <c r="D129" s="1498"/>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98"/>
      <c r="V129" s="1498"/>
      <c r="W129" s="1498"/>
      <c r="X129" s="1498"/>
      <c r="Y129" s="1498"/>
      <c r="Z129" s="1498"/>
      <c r="AA129" s="935"/>
      <c r="AB129" s="486" t="s">
        <v>899</v>
      </c>
      <c r="AC129" s="487" t="s">
        <v>988</v>
      </c>
      <c r="AD129" s="486" t="s">
        <v>986</v>
      </c>
      <c r="AE129" s="1680"/>
      <c r="AF129" s="1680"/>
      <c r="AG129" s="1680"/>
      <c r="AH129" s="1680"/>
      <c r="AI129" s="280"/>
      <c r="AJ129" s="1664"/>
      <c r="AK129" s="1664"/>
      <c r="AL129" s="1680"/>
      <c r="AM129" s="1680"/>
      <c r="AN129" s="1680"/>
      <c r="AO129" s="1680"/>
      <c r="AP129" s="1680"/>
      <c r="AQ129" s="1680"/>
      <c r="AR129" s="1680"/>
      <c r="AS129" s="280"/>
      <c r="AT129" s="1664"/>
      <c r="AU129" s="1664"/>
      <c r="AV129" s="1680"/>
      <c r="AW129" s="1680"/>
      <c r="AX129" s="1680"/>
      <c r="AY129" s="1680"/>
      <c r="AZ129" s="1680"/>
      <c r="BA129" s="1680"/>
      <c r="BB129" s="1680"/>
      <c r="BC129" s="1792"/>
      <c r="BD129" s="935"/>
      <c r="BE129" s="935"/>
      <c r="BF129" s="1171" t="s">
        <v>989</v>
      </c>
    </row>
    <row s="1642" customFormat="1" customHeight="1" ht="14.25">
      <c r="A130" s="1498"/>
      <c r="B130" s="925"/>
      <c r="C130" s="1498"/>
      <c r="D130" s="1498"/>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98"/>
      <c r="V130" s="1498"/>
      <c r="W130" s="1498"/>
      <c r="X130" s="1498"/>
      <c r="Y130" s="1498"/>
      <c r="Z130" s="1498"/>
      <c r="AA130" s="935"/>
      <c r="AB130" s="486" t="s">
        <v>901</v>
      </c>
      <c r="AC130" s="487" t="s">
        <v>990</v>
      </c>
      <c r="AD130" s="486" t="s">
        <v>986</v>
      </c>
      <c r="AE130" s="1680"/>
      <c r="AF130" s="1680"/>
      <c r="AG130" s="1680"/>
      <c r="AH130" s="1680"/>
      <c r="AI130" s="280"/>
      <c r="AJ130" s="1664"/>
      <c r="AK130" s="1664"/>
      <c r="AL130" s="1680"/>
      <c r="AM130" s="1680"/>
      <c r="AN130" s="1680"/>
      <c r="AO130" s="1680"/>
      <c r="AP130" s="1680"/>
      <c r="AQ130" s="1680"/>
      <c r="AR130" s="1680"/>
      <c r="AS130" s="280"/>
      <c r="AT130" s="1664"/>
      <c r="AU130" s="1664"/>
      <c r="AV130" s="1680"/>
      <c r="AW130" s="1680"/>
      <c r="AX130" s="1680"/>
      <c r="AY130" s="1680"/>
      <c r="AZ130" s="1680"/>
      <c r="BA130" s="1680"/>
      <c r="BB130" s="1680"/>
      <c r="BC130" s="1792"/>
      <c r="BD130" s="935"/>
      <c r="BE130" s="935"/>
      <c r="BF130" s="1171" t="s">
        <v>991</v>
      </c>
    </row>
    <row s="1642" customFormat="1" customHeight="1" ht="14.25">
      <c r="A131" s="1498"/>
      <c r="B131" s="925"/>
      <c r="C131" s="1498"/>
      <c r="D131" s="1498"/>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98"/>
      <c r="V131" s="1498"/>
      <c r="W131" s="1498"/>
      <c r="X131" s="1498"/>
      <c r="Y131" s="1498"/>
      <c r="Z131" s="1498"/>
      <c r="AA131" s="935"/>
      <c r="AB131" s="486" t="s">
        <v>905</v>
      </c>
      <c r="AC131" s="487" t="s">
        <v>992</v>
      </c>
      <c r="AD131" s="486" t="s">
        <v>986</v>
      </c>
      <c r="AE131" s="1793">
        <f>SUM(AE132:AE136)</f>
        <v>0</v>
      </c>
      <c r="AF131" s="1793">
        <f>SUM(AF132:AF136)</f>
        <v>0</v>
      </c>
      <c r="AG131" s="1793">
        <f>SUM(AG132:AG136)</f>
        <v>0</v>
      </c>
      <c r="AH131" s="1793">
        <f>SUM(AH132:AH136)</f>
        <v>0</v>
      </c>
      <c r="AI131" s="481">
        <f>SUM(AI132:AI136)</f>
        <v>0</v>
      </c>
      <c r="AJ131" s="1787">
        <f>SUM(AJ132:AJ136)</f>
        <v>0</v>
      </c>
      <c r="AK131" s="1787">
        <f>SUM(AK132:AK136)</f>
        <v>0</v>
      </c>
      <c r="AL131" s="1793">
        <f>SUM(AL132:AL136)</f>
        <v>0</v>
      </c>
      <c r="AM131" s="1793">
        <f>SUM(AM132:AM136)</f>
        <v>0</v>
      </c>
      <c r="AN131" s="1793">
        <f>SUM(AN132:AN136)</f>
        <v>0</v>
      </c>
      <c r="AO131" s="1793">
        <f>SUM(AO132:AO136)</f>
        <v>0</v>
      </c>
      <c r="AP131" s="1793">
        <f>SUM(AP132:AP136)</f>
        <v>0</v>
      </c>
      <c r="AQ131" s="1793">
        <f>SUM(AQ132:AQ136)</f>
        <v>0</v>
      </c>
      <c r="AR131" s="1793">
        <f>SUM(AR132:AR136)</f>
        <v>0</v>
      </c>
      <c r="AS131" s="481">
        <f>SUM(AS132:AS136)</f>
        <v>0</v>
      </c>
      <c r="AT131" s="1787">
        <f>SUM(AT132:AT136)</f>
        <v>0</v>
      </c>
      <c r="AU131" s="1787">
        <f>SUM(AU132:AU136)</f>
        <v>0</v>
      </c>
      <c r="AV131" s="1793">
        <f>SUM(AV132:AV136)</f>
        <v>0</v>
      </c>
      <c r="AW131" s="1793">
        <f>SUM(AW132:AW136)</f>
        <v>0</v>
      </c>
      <c r="AX131" s="1793">
        <f>SUM(AX132:AX136)</f>
        <v>0</v>
      </c>
      <c r="AY131" s="1793">
        <f>SUM(AY132:AY136)</f>
        <v>0</v>
      </c>
      <c r="AZ131" s="1793">
        <f>SUM(AZ132:AZ136)</f>
        <v>0</v>
      </c>
      <c r="BA131" s="1793">
        <f>SUM(BA132:BA136)</f>
        <v>0</v>
      </c>
      <c r="BB131" s="1793">
        <f>SUM(BB132:BB136)</f>
        <v>0</v>
      </c>
      <c r="BC131" s="1792"/>
      <c r="BD131" s="935"/>
      <c r="BE131" s="935"/>
      <c r="BF131" s="1171" t="s">
        <v>993</v>
      </c>
    </row>
    <row s="1642" customFormat="1" customHeight="1" ht="14.25">
      <c r="A132" s="1498"/>
      <c r="B132" s="925"/>
      <c r="C132" s="1498"/>
      <c r="D132" s="1498"/>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98"/>
      <c r="V132" s="1498"/>
      <c r="W132" s="1498"/>
      <c r="X132" s="1498"/>
      <c r="Y132" s="1498"/>
      <c r="Z132" s="1498"/>
      <c r="AA132" s="935"/>
      <c r="AB132" s="486" t="s">
        <v>994</v>
      </c>
      <c r="AC132" s="488" t="s">
        <v>995</v>
      </c>
      <c r="AD132" s="486" t="s">
        <v>986</v>
      </c>
      <c r="AE132" s="1680"/>
      <c r="AF132" s="1680"/>
      <c r="AG132" s="1680"/>
      <c r="AH132" s="1680"/>
      <c r="AI132" s="280"/>
      <c r="AJ132" s="1664"/>
      <c r="AK132" s="1664"/>
      <c r="AL132" s="1680"/>
      <c r="AM132" s="1680"/>
      <c r="AN132" s="1680"/>
      <c r="AO132" s="1680"/>
      <c r="AP132" s="1680"/>
      <c r="AQ132" s="1680"/>
      <c r="AR132" s="1680"/>
      <c r="AS132" s="280"/>
      <c r="AT132" s="1664"/>
      <c r="AU132" s="1664"/>
      <c r="AV132" s="1680"/>
      <c r="AW132" s="1680"/>
      <c r="AX132" s="1680"/>
      <c r="AY132" s="1680"/>
      <c r="AZ132" s="1680"/>
      <c r="BA132" s="1680"/>
      <c r="BB132" s="1680"/>
      <c r="BC132" s="1792"/>
      <c r="BD132" s="935"/>
      <c r="BE132" s="935"/>
      <c r="BF132" s="1171" t="s">
        <v>996</v>
      </c>
    </row>
    <row s="1642" customFormat="1" customHeight="1" ht="14.25">
      <c r="A133" s="1498"/>
      <c r="B133" s="925"/>
      <c r="C133" s="1498"/>
      <c r="D133" s="1498"/>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98"/>
      <c r="V133" s="1498"/>
      <c r="W133" s="1498"/>
      <c r="X133" s="1498"/>
      <c r="Y133" s="1498"/>
      <c r="Z133" s="1498"/>
      <c r="AA133" s="935"/>
      <c r="AB133" s="486" t="s">
        <v>997</v>
      </c>
      <c r="AC133" s="488" t="s">
        <v>998</v>
      </c>
      <c r="AD133" s="486" t="s">
        <v>986</v>
      </c>
      <c r="AE133" s="1680"/>
      <c r="AF133" s="1680"/>
      <c r="AG133" s="1680"/>
      <c r="AH133" s="1680"/>
      <c r="AI133" s="280"/>
      <c r="AJ133" s="1664"/>
      <c r="AK133" s="1664"/>
      <c r="AL133" s="1680"/>
      <c r="AM133" s="1680"/>
      <c r="AN133" s="1680"/>
      <c r="AO133" s="1680"/>
      <c r="AP133" s="1680"/>
      <c r="AQ133" s="1680"/>
      <c r="AR133" s="1680"/>
      <c r="AS133" s="280"/>
      <c r="AT133" s="1664"/>
      <c r="AU133" s="1664"/>
      <c r="AV133" s="1680"/>
      <c r="AW133" s="1680"/>
      <c r="AX133" s="1680"/>
      <c r="AY133" s="1680"/>
      <c r="AZ133" s="1680"/>
      <c r="BA133" s="1680"/>
      <c r="BB133" s="1680"/>
      <c r="BC133" s="1792"/>
      <c r="BD133" s="935"/>
      <c r="BE133" s="935"/>
      <c r="BF133" s="1171" t="s">
        <v>999</v>
      </c>
    </row>
    <row s="1642" customFormat="1" customHeight="1" ht="14.25">
      <c r="A134" s="1498"/>
      <c r="B134" s="925"/>
      <c r="C134" s="1498"/>
      <c r="D134" s="1498"/>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98"/>
      <c r="V134" s="1498"/>
      <c r="W134" s="1498"/>
      <c r="X134" s="1498"/>
      <c r="Y134" s="1498"/>
      <c r="Z134" s="1498"/>
      <c r="AA134" s="935"/>
      <c r="AB134" s="486" t="s">
        <v>1000</v>
      </c>
      <c r="AC134" s="488" t="s">
        <v>1001</v>
      </c>
      <c r="AD134" s="486" t="s">
        <v>986</v>
      </c>
      <c r="AE134" s="1680"/>
      <c r="AF134" s="1680"/>
      <c r="AG134" s="1680"/>
      <c r="AH134" s="1680"/>
      <c r="AI134" s="280"/>
      <c r="AJ134" s="1664"/>
      <c r="AK134" s="1664"/>
      <c r="AL134" s="1680"/>
      <c r="AM134" s="1680"/>
      <c r="AN134" s="1680"/>
      <c r="AO134" s="1680"/>
      <c r="AP134" s="1680"/>
      <c r="AQ134" s="1680"/>
      <c r="AR134" s="1680"/>
      <c r="AS134" s="280"/>
      <c r="AT134" s="1664"/>
      <c r="AU134" s="1664"/>
      <c r="AV134" s="1680"/>
      <c r="AW134" s="1680"/>
      <c r="AX134" s="1680"/>
      <c r="AY134" s="1680"/>
      <c r="AZ134" s="1680"/>
      <c r="BA134" s="1680"/>
      <c r="BB134" s="1680"/>
      <c r="BC134" s="1792"/>
      <c r="BD134" s="935"/>
      <c r="BE134" s="935"/>
      <c r="BF134" s="1171" t="s">
        <v>1002</v>
      </c>
    </row>
    <row s="1642" customFormat="1" customHeight="1" ht="14.25">
      <c r="A135" s="1498"/>
      <c r="B135" s="925"/>
      <c r="C135" s="1498"/>
      <c r="D135" s="1498"/>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98"/>
      <c r="V135" s="1498"/>
      <c r="W135" s="1498"/>
      <c r="X135" s="1498"/>
      <c r="Y135" s="1498"/>
      <c r="Z135" s="1498"/>
      <c r="AA135" s="935"/>
      <c r="AB135" s="486" t="s">
        <v>1003</v>
      </c>
      <c r="AC135" s="488" t="s">
        <v>1004</v>
      </c>
      <c r="AD135" s="486" t="s">
        <v>986</v>
      </c>
      <c r="AE135" s="1680"/>
      <c r="AF135" s="1680"/>
      <c r="AG135" s="1680"/>
      <c r="AH135" s="1680"/>
      <c r="AI135" s="280"/>
      <c r="AJ135" s="1664"/>
      <c r="AK135" s="1664"/>
      <c r="AL135" s="1680"/>
      <c r="AM135" s="1680"/>
      <c r="AN135" s="1680"/>
      <c r="AO135" s="1680"/>
      <c r="AP135" s="1680"/>
      <c r="AQ135" s="1680"/>
      <c r="AR135" s="1680"/>
      <c r="AS135" s="280"/>
      <c r="AT135" s="1664"/>
      <c r="AU135" s="1664"/>
      <c r="AV135" s="1680"/>
      <c r="AW135" s="1680"/>
      <c r="AX135" s="1680"/>
      <c r="AY135" s="1680"/>
      <c r="AZ135" s="1680"/>
      <c r="BA135" s="1680"/>
      <c r="BB135" s="1680"/>
      <c r="BC135" s="1792"/>
      <c r="BD135" s="935"/>
      <c r="BE135" s="935"/>
      <c r="BF135" s="1171" t="s">
        <v>1005</v>
      </c>
    </row>
    <row s="1642" customFormat="1" customHeight="1" ht="14.25">
      <c r="A136" s="1498"/>
      <c r="B136" s="925"/>
      <c r="C136" s="1498"/>
      <c r="D136" s="1498"/>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98"/>
      <c r="V136" s="1498"/>
      <c r="W136" s="1498"/>
      <c r="X136" s="1498"/>
      <c r="Y136" s="1498"/>
      <c r="Z136" s="1498"/>
      <c r="AA136" s="935"/>
      <c r="AB136" s="486" t="s">
        <v>1006</v>
      </c>
      <c r="AC136" s="488" t="s">
        <v>1007</v>
      </c>
      <c r="AD136" s="486" t="s">
        <v>986</v>
      </c>
      <c r="AE136" s="1680"/>
      <c r="AF136" s="1680"/>
      <c r="AG136" s="1680"/>
      <c r="AH136" s="1680"/>
      <c r="AI136" s="280"/>
      <c r="AJ136" s="1664"/>
      <c r="AK136" s="1664"/>
      <c r="AL136" s="1680"/>
      <c r="AM136" s="1680"/>
      <c r="AN136" s="1680"/>
      <c r="AO136" s="1680"/>
      <c r="AP136" s="1680"/>
      <c r="AQ136" s="1680"/>
      <c r="AR136" s="1680"/>
      <c r="AS136" s="280"/>
      <c r="AT136" s="1664"/>
      <c r="AU136" s="1664"/>
      <c r="AV136" s="1680"/>
      <c r="AW136" s="1680"/>
      <c r="AX136" s="1680"/>
      <c r="AY136" s="1680"/>
      <c r="AZ136" s="1680"/>
      <c r="BA136" s="1680"/>
      <c r="BB136" s="1680"/>
      <c r="BC136" s="1792"/>
      <c r="BD136" s="935"/>
      <c r="BE136" s="935"/>
      <c r="BF136" s="1171" t="s">
        <v>1008</v>
      </c>
    </row>
    <row s="1642" customFormat="1" customHeight="1" ht="14.25">
      <c r="A137" s="1498"/>
      <c r="B137" s="925"/>
      <c r="C137" s="1498"/>
      <c r="D137" s="1498"/>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98"/>
      <c r="V137" s="1498"/>
      <c r="W137" s="1498"/>
      <c r="X137" s="1498"/>
      <c r="Y137" s="1498"/>
      <c r="Z137" s="1498"/>
      <c r="AA137" s="935"/>
      <c r="AB137" s="486" t="s">
        <v>1009</v>
      </c>
      <c r="AC137" s="487" t="s">
        <v>1010</v>
      </c>
      <c r="AD137" s="486" t="s">
        <v>986</v>
      </c>
      <c r="AE137" s="1680"/>
      <c r="AF137" s="1680"/>
      <c r="AG137" s="1680"/>
      <c r="AH137" s="1680"/>
      <c r="AI137" s="280"/>
      <c r="AJ137" s="1664"/>
      <c r="AK137" s="1664"/>
      <c r="AL137" s="1680"/>
      <c r="AM137" s="1680"/>
      <c r="AN137" s="1680"/>
      <c r="AO137" s="1680"/>
      <c r="AP137" s="1680"/>
      <c r="AQ137" s="1680"/>
      <c r="AR137" s="1680"/>
      <c r="AS137" s="280"/>
      <c r="AT137" s="1664"/>
      <c r="AU137" s="1664"/>
      <c r="AV137" s="1680"/>
      <c r="AW137" s="1680"/>
      <c r="AX137" s="1680"/>
      <c r="AY137" s="1680"/>
      <c r="AZ137" s="1680"/>
      <c r="BA137" s="1680"/>
      <c r="BB137" s="1680"/>
      <c r="BC137" s="1792"/>
      <c r="BD137" s="935"/>
      <c r="BE137" s="935"/>
      <c r="BF137" s="1171" t="s">
        <v>1011</v>
      </c>
    </row>
    <row s="1642" customFormat="1" customHeight="1" ht="14.25">
      <c r="A138" s="1498"/>
      <c r="B138" s="925"/>
      <c r="C138" s="1498"/>
      <c r="D138" s="1498"/>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98"/>
      <c r="V138" s="1498"/>
      <c r="W138" s="1498"/>
      <c r="X138" s="1498"/>
      <c r="Y138" s="1498"/>
      <c r="Z138" s="1498"/>
      <c r="AA138" s="935"/>
      <c r="AB138" s="486" t="s">
        <v>1012</v>
      </c>
      <c r="AC138" s="487" t="s">
        <v>1013</v>
      </c>
      <c r="AD138" s="486" t="s">
        <v>986</v>
      </c>
      <c r="AE138" s="1680"/>
      <c r="AF138" s="1680"/>
      <c r="AG138" s="1680"/>
      <c r="AH138" s="1680"/>
      <c r="AI138" s="280"/>
      <c r="AJ138" s="1664"/>
      <c r="AK138" s="1664"/>
      <c r="AL138" s="1680"/>
      <c r="AM138" s="1680"/>
      <c r="AN138" s="1680"/>
      <c r="AO138" s="1680"/>
      <c r="AP138" s="1680"/>
      <c r="AQ138" s="1680"/>
      <c r="AR138" s="1680"/>
      <c r="AS138" s="280"/>
      <c r="AT138" s="1664"/>
      <c r="AU138" s="1664"/>
      <c r="AV138" s="1680"/>
      <c r="AW138" s="1680"/>
      <c r="AX138" s="1680"/>
      <c r="AY138" s="1680"/>
      <c r="AZ138" s="1680"/>
      <c r="BA138" s="1680"/>
      <c r="BB138" s="1680"/>
      <c r="BC138" s="1792"/>
      <c r="BD138" s="935"/>
      <c r="BE138" s="935"/>
      <c r="BF138" s="1171" t="s">
        <v>1014</v>
      </c>
    </row>
    <row s="1642" customFormat="1" customHeight="1" ht="14.25">
      <c r="A139" s="1498"/>
      <c r="B139" s="925"/>
      <c r="C139" s="1498"/>
      <c r="D139" s="1498"/>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98"/>
      <c r="V139" s="1498"/>
      <c r="W139" s="1498"/>
      <c r="X139" s="1498"/>
      <c r="Y139" s="1498"/>
      <c r="Z139" s="1498"/>
      <c r="AA139" s="935"/>
      <c r="AB139" s="486" t="s">
        <v>1015</v>
      </c>
      <c r="AC139" s="487" t="s">
        <v>1016</v>
      </c>
      <c r="AD139" s="486" t="s">
        <v>986</v>
      </c>
      <c r="AE139" s="1680"/>
      <c r="AF139" s="1680"/>
      <c r="AG139" s="1680"/>
      <c r="AH139" s="1680"/>
      <c r="AI139" s="280"/>
      <c r="AJ139" s="1664"/>
      <c r="AK139" s="1664"/>
      <c r="AL139" s="1680"/>
      <c r="AM139" s="1680"/>
      <c r="AN139" s="1680"/>
      <c r="AO139" s="1680"/>
      <c r="AP139" s="1680"/>
      <c r="AQ139" s="1680"/>
      <c r="AR139" s="1680"/>
      <c r="AS139" s="280"/>
      <c r="AT139" s="1664"/>
      <c r="AU139" s="1664"/>
      <c r="AV139" s="1680"/>
      <c r="AW139" s="1680"/>
      <c r="AX139" s="1680"/>
      <c r="AY139" s="1680"/>
      <c r="AZ139" s="1680"/>
      <c r="BA139" s="1680"/>
      <c r="BB139" s="1680"/>
      <c r="BC139" s="1792"/>
      <c r="BD139" s="935"/>
      <c r="BE139" s="935"/>
      <c r="BF139" s="1171" t="s">
        <v>1017</v>
      </c>
    </row>
    <row s="1642" customFormat="1" customHeight="1" ht="14.25">
      <c r="A140" s="1498"/>
      <c r="B140" s="925"/>
      <c r="C140" s="1498"/>
      <c r="D140" s="1498"/>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98"/>
      <c r="V140" s="1498"/>
      <c r="W140" s="1498"/>
      <c r="X140" s="1498"/>
      <c r="Y140" s="1498"/>
      <c r="Z140" s="1498"/>
      <c r="AA140" s="935"/>
      <c r="AB140" s="486" t="s">
        <v>1018</v>
      </c>
      <c r="AC140" s="487" t="s">
        <v>1019</v>
      </c>
      <c r="AD140" s="486" t="s">
        <v>986</v>
      </c>
      <c r="AE140" s="1680"/>
      <c r="AF140" s="1680"/>
      <c r="AG140" s="1680"/>
      <c r="AH140" s="1680"/>
      <c r="AI140" s="280"/>
      <c r="AJ140" s="1664"/>
      <c r="AK140" s="1664"/>
      <c r="AL140" s="1680"/>
      <c r="AM140" s="1680"/>
      <c r="AN140" s="1680"/>
      <c r="AO140" s="1680"/>
      <c r="AP140" s="1680"/>
      <c r="AQ140" s="1680"/>
      <c r="AR140" s="1680"/>
      <c r="AS140" s="280"/>
      <c r="AT140" s="1664"/>
      <c r="AU140" s="1664"/>
      <c r="AV140" s="1680"/>
      <c r="AW140" s="1680"/>
      <c r="AX140" s="1680"/>
      <c r="AY140" s="1680"/>
      <c r="AZ140" s="1680"/>
      <c r="BA140" s="1680"/>
      <c r="BB140" s="1680"/>
      <c r="BC140" s="1792"/>
      <c r="BD140" s="935"/>
      <c r="BE140" s="935"/>
      <c r="BF140" s="1171" t="s">
        <v>1020</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1021</v>
      </c>
      <c r="AD141" s="153" t="s">
        <v>799</v>
      </c>
      <c r="AE141" s="1863">
        <f>SUM(AE142:AE145)+SUM(AE151:AE154)</f>
        <v>0</v>
      </c>
      <c r="AF141" s="1863">
        <f>SUM(AF142:AF145)+SUM(AF151:AF154)</f>
        <v>0</v>
      </c>
      <c r="AG141" s="1863">
        <f>SUM(AG142:AG145)+SUM(AG151:AG154)</f>
        <v>0</v>
      </c>
      <c r="AH141" s="1863">
        <f>SUM(AH142:AH145)+SUM(AH151:AH154)</f>
        <v>0</v>
      </c>
      <c r="AI141" s="292">
        <f>SUM(AI142:AI145)+SUM(AI151:AI154)</f>
        <v>0</v>
      </c>
      <c r="AJ141" s="1848">
        <f>SUM(AJ142:AJ145)+SUM(AJ151:AJ154)</f>
        <v>0</v>
      </c>
      <c r="AK141" s="1848">
        <f>SUM(AK142:AK145)+SUM(AK151:AK154)</f>
        <v>0</v>
      </c>
      <c r="AL141" s="1863">
        <f>SUM(AL142:AL145)+SUM(AL151:AL154)</f>
        <v>0</v>
      </c>
      <c r="AM141" s="1863">
        <f>SUM(AM142:AM145)+SUM(AM151:AM154)</f>
        <v>0</v>
      </c>
      <c r="AN141" s="1863">
        <f>SUM(AN142:AN145)+SUM(AN151:AN154)</f>
        <v>0</v>
      </c>
      <c r="AO141" s="1863">
        <f>SUM(AO142:AO145)+SUM(AO151:AO154)</f>
        <v>0</v>
      </c>
      <c r="AP141" s="1863">
        <f>SUM(AP142:AP145)+SUM(AP151:AP154)</f>
        <v>0</v>
      </c>
      <c r="AQ141" s="1863">
        <f>SUM(AQ142:AQ145)+SUM(AQ151:AQ154)</f>
        <v>0</v>
      </c>
      <c r="AR141" s="1863">
        <f>SUM(AR142:AR145)+SUM(AR151:AR154)</f>
        <v>0</v>
      </c>
      <c r="AS141" s="292">
        <f>SUM(AS142:AS145)+SUM(AS151:AS154)</f>
        <v>0</v>
      </c>
      <c r="AT141" s="1848">
        <f>SUM(AT142:AT145)+SUM(AT151:AT154)</f>
        <v>0</v>
      </c>
      <c r="AU141" s="1848">
        <f>SUM(AU142:AU145)+SUM(AU151:AU154)</f>
        <v>0</v>
      </c>
      <c r="AV141" s="1863">
        <f>SUM(AV142:AV145)+SUM(AV151:AV154)</f>
        <v>0</v>
      </c>
      <c r="AW141" s="1863">
        <f>SUM(AW142:AW145)+SUM(AW151:AW154)</f>
        <v>0</v>
      </c>
      <c r="AX141" s="1863">
        <f>SUM(AX142:AX145)+SUM(AX151:AX154)</f>
        <v>0</v>
      </c>
      <c r="AY141" s="1863">
        <f>SUM(AY142:AY145)+SUM(AY151:AY154)</f>
        <v>0</v>
      </c>
      <c r="AZ141" s="1863">
        <f>SUM(AZ142:AZ145)+SUM(AZ151:AZ154)</f>
        <v>0</v>
      </c>
      <c r="BA141" s="1863">
        <f>SUM(BA142:BA145)+SUM(BA151:BA154)</f>
        <v>0</v>
      </c>
      <c r="BB141" s="1863">
        <f>SUM(BB142:BB145)+SUM(BB151:BB154)</f>
        <v>0</v>
      </c>
      <c r="BC141" s="1792"/>
      <c r="BD141" s="214"/>
      <c r="BE141" s="214"/>
      <c r="BF141" s="1171" t="s">
        <v>1022</v>
      </c>
    </row>
    <row s="1642" customFormat="1" customHeight="1" ht="14.25">
      <c r="A142" s="1498"/>
      <c r="B142" s="925"/>
      <c r="C142" s="1498"/>
      <c r="D142" s="1498"/>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98"/>
      <c r="V142" s="1498"/>
      <c r="W142" s="1498"/>
      <c r="X142" s="1498"/>
      <c r="Y142" s="1498"/>
      <c r="Z142" s="1498"/>
      <c r="AA142" s="935"/>
      <c r="AB142" s="486" t="str">
        <f>AB141&amp;".1"</f>
        <v>2.1</v>
      </c>
      <c r="AC142" s="487" t="s">
        <v>985</v>
      </c>
      <c r="AD142" s="486" t="s">
        <v>986</v>
      </c>
      <c r="AE142" s="1680"/>
      <c r="AF142" s="1680"/>
      <c r="AG142" s="1680"/>
      <c r="AH142" s="1680"/>
      <c r="AI142" s="280"/>
      <c r="AJ142" s="1664"/>
      <c r="AK142" s="1664"/>
      <c r="AL142" s="1680"/>
      <c r="AM142" s="1680"/>
      <c r="AN142" s="1680"/>
      <c r="AO142" s="1680"/>
      <c r="AP142" s="1680"/>
      <c r="AQ142" s="1680"/>
      <c r="AR142" s="1680"/>
      <c r="AS142" s="280"/>
      <c r="AT142" s="1664"/>
      <c r="AU142" s="1664"/>
      <c r="AV142" s="1680"/>
      <c r="AW142" s="1680"/>
      <c r="AX142" s="1680"/>
      <c r="AY142" s="1680"/>
      <c r="AZ142" s="1680"/>
      <c r="BA142" s="1680"/>
      <c r="BB142" s="1680"/>
      <c r="BC142" s="1792"/>
      <c r="BD142" s="935"/>
      <c r="BE142" s="935"/>
      <c r="BF142" s="1171" t="s">
        <v>1023</v>
      </c>
    </row>
    <row s="1642" customFormat="1" customHeight="1" ht="14.25">
      <c r="A143" s="1498"/>
      <c r="B143" s="925"/>
      <c r="C143" s="1498"/>
      <c r="D143" s="1498"/>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98"/>
      <c r="V143" s="1498"/>
      <c r="W143" s="1498"/>
      <c r="X143" s="1498"/>
      <c r="Y143" s="1498"/>
      <c r="Z143" s="1498"/>
      <c r="AA143" s="935"/>
      <c r="AB143" s="486" t="str">
        <f>AB141&amp;".2"</f>
        <v>2.2</v>
      </c>
      <c r="AC143" s="487" t="s">
        <v>988</v>
      </c>
      <c r="AD143" s="486" t="s">
        <v>986</v>
      </c>
      <c r="AE143" s="1680"/>
      <c r="AF143" s="1680"/>
      <c r="AG143" s="1680"/>
      <c r="AH143" s="1680"/>
      <c r="AI143" s="280"/>
      <c r="AJ143" s="1664"/>
      <c r="AK143" s="1664"/>
      <c r="AL143" s="1680"/>
      <c r="AM143" s="1680"/>
      <c r="AN143" s="1680"/>
      <c r="AO143" s="1680"/>
      <c r="AP143" s="1680"/>
      <c r="AQ143" s="1680"/>
      <c r="AR143" s="1680"/>
      <c r="AS143" s="280"/>
      <c r="AT143" s="1664"/>
      <c r="AU143" s="1664"/>
      <c r="AV143" s="1680"/>
      <c r="AW143" s="1680"/>
      <c r="AX143" s="1680"/>
      <c r="AY143" s="1680"/>
      <c r="AZ143" s="1680"/>
      <c r="BA143" s="1680"/>
      <c r="BB143" s="1680"/>
      <c r="BC143" s="1792"/>
      <c r="BD143" s="935"/>
      <c r="BE143" s="935"/>
      <c r="BF143" s="1171" t="s">
        <v>1024</v>
      </c>
    </row>
    <row s="1642" customFormat="1" customHeight="1" ht="14.25">
      <c r="A144" s="1498"/>
      <c r="B144" s="925"/>
      <c r="C144" s="1498"/>
      <c r="D144" s="1498"/>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98"/>
      <c r="V144" s="1498"/>
      <c r="W144" s="1498"/>
      <c r="X144" s="1498"/>
      <c r="Y144" s="1498"/>
      <c r="Z144" s="1498"/>
      <c r="AA144" s="935"/>
      <c r="AB144" s="486" t="str">
        <f>AB141&amp;".3"</f>
        <v>2.3</v>
      </c>
      <c r="AC144" s="487" t="s">
        <v>990</v>
      </c>
      <c r="AD144" s="486" t="s">
        <v>986</v>
      </c>
      <c r="AE144" s="1680"/>
      <c r="AF144" s="1680"/>
      <c r="AG144" s="1680"/>
      <c r="AH144" s="1680"/>
      <c r="AI144" s="280"/>
      <c r="AJ144" s="1664"/>
      <c r="AK144" s="1664"/>
      <c r="AL144" s="1680"/>
      <c r="AM144" s="1680"/>
      <c r="AN144" s="1680"/>
      <c r="AO144" s="1680"/>
      <c r="AP144" s="1680"/>
      <c r="AQ144" s="1680"/>
      <c r="AR144" s="1680"/>
      <c r="AS144" s="280"/>
      <c r="AT144" s="1664"/>
      <c r="AU144" s="1664"/>
      <c r="AV144" s="1680"/>
      <c r="AW144" s="1680"/>
      <c r="AX144" s="1680"/>
      <c r="AY144" s="1680"/>
      <c r="AZ144" s="1680"/>
      <c r="BA144" s="1680"/>
      <c r="BB144" s="1680"/>
      <c r="BC144" s="1792"/>
      <c r="BD144" s="935"/>
      <c r="BE144" s="935"/>
      <c r="BF144" s="1171" t="s">
        <v>1025</v>
      </c>
    </row>
    <row s="1642" customFormat="1" customHeight="1" ht="14.25">
      <c r="A145" s="1498"/>
      <c r="B145" s="925"/>
      <c r="C145" s="1498"/>
      <c r="D145" s="1498"/>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98"/>
      <c r="V145" s="1498"/>
      <c r="W145" s="1498"/>
      <c r="X145" s="1498"/>
      <c r="Y145" s="1498"/>
      <c r="Z145" s="1498"/>
      <c r="AA145" s="935"/>
      <c r="AB145" s="486" t="str">
        <f>AB141&amp;".4"</f>
        <v>2.4</v>
      </c>
      <c r="AC145" s="487" t="s">
        <v>992</v>
      </c>
      <c r="AD145" s="486" t="s">
        <v>986</v>
      </c>
      <c r="AE145" s="1793">
        <f>SUM(AE146:AE150)</f>
        <v>0</v>
      </c>
      <c r="AF145" s="1793">
        <f>SUM(AF146:AF150)</f>
        <v>0</v>
      </c>
      <c r="AG145" s="1793">
        <f>SUM(AG146:AG150)</f>
        <v>0</v>
      </c>
      <c r="AH145" s="1793">
        <f>SUM(AH146:AH150)</f>
        <v>0</v>
      </c>
      <c r="AI145" s="481">
        <f>SUM(AI146:AI150)</f>
        <v>0</v>
      </c>
      <c r="AJ145" s="1787">
        <f>SUM(AJ146:AJ150)</f>
        <v>0</v>
      </c>
      <c r="AK145" s="1787">
        <f>SUM(AK146:AK150)</f>
        <v>0</v>
      </c>
      <c r="AL145" s="1793">
        <f>SUM(AL146:AL150)</f>
        <v>0</v>
      </c>
      <c r="AM145" s="1793">
        <f>SUM(AM146:AM150)</f>
        <v>0</v>
      </c>
      <c r="AN145" s="1793">
        <f>SUM(AN146:AN150)</f>
        <v>0</v>
      </c>
      <c r="AO145" s="1793">
        <f>SUM(AO146:AO150)</f>
        <v>0</v>
      </c>
      <c r="AP145" s="1793">
        <f>SUM(AP146:AP150)</f>
        <v>0</v>
      </c>
      <c r="AQ145" s="1793">
        <f>SUM(AQ146:AQ150)</f>
        <v>0</v>
      </c>
      <c r="AR145" s="1793">
        <f>SUM(AR146:AR150)</f>
        <v>0</v>
      </c>
      <c r="AS145" s="481">
        <f>SUM(AS146:AS150)</f>
        <v>0</v>
      </c>
      <c r="AT145" s="1787">
        <f>SUM(AT146:AT150)</f>
        <v>0</v>
      </c>
      <c r="AU145" s="1787">
        <f>SUM(AU146:AU150)</f>
        <v>0</v>
      </c>
      <c r="AV145" s="1793">
        <f>SUM(AV146:AV150)</f>
        <v>0</v>
      </c>
      <c r="AW145" s="1793">
        <f>SUM(AW146:AW150)</f>
        <v>0</v>
      </c>
      <c r="AX145" s="1793">
        <f>SUM(AX146:AX150)</f>
        <v>0</v>
      </c>
      <c r="AY145" s="1793">
        <f>SUM(AY146:AY150)</f>
        <v>0</v>
      </c>
      <c r="AZ145" s="1793">
        <f>SUM(AZ146:AZ150)</f>
        <v>0</v>
      </c>
      <c r="BA145" s="1793">
        <f>SUM(BA146:BA150)</f>
        <v>0</v>
      </c>
      <c r="BB145" s="1793">
        <f>SUM(BB146:BB150)</f>
        <v>0</v>
      </c>
      <c r="BC145" s="1792"/>
      <c r="BD145" s="935"/>
      <c r="BE145" s="935"/>
      <c r="BF145" s="1171" t="s">
        <v>1026</v>
      </c>
    </row>
    <row s="1642" customFormat="1" customHeight="1" ht="14.25">
      <c r="A146" s="1498"/>
      <c r="B146" s="925"/>
      <c r="C146" s="1498"/>
      <c r="D146" s="1498"/>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98"/>
      <c r="V146" s="1498"/>
      <c r="W146" s="1498"/>
      <c r="X146" s="1498"/>
      <c r="Y146" s="1498"/>
      <c r="Z146" s="1498"/>
      <c r="AA146" s="935"/>
      <c r="AB146" s="486" t="str">
        <f>AB145&amp;".1"</f>
        <v>2.4.1</v>
      </c>
      <c r="AC146" s="488" t="s">
        <v>995</v>
      </c>
      <c r="AD146" s="486" t="s">
        <v>986</v>
      </c>
      <c r="AE146" s="1680"/>
      <c r="AF146" s="1680"/>
      <c r="AG146" s="1680"/>
      <c r="AH146" s="1680"/>
      <c r="AI146" s="280"/>
      <c r="AJ146" s="1664"/>
      <c r="AK146" s="1664"/>
      <c r="AL146" s="1680"/>
      <c r="AM146" s="1680"/>
      <c r="AN146" s="1680"/>
      <c r="AO146" s="1680"/>
      <c r="AP146" s="1680"/>
      <c r="AQ146" s="1680"/>
      <c r="AR146" s="1680"/>
      <c r="AS146" s="280"/>
      <c r="AT146" s="1664"/>
      <c r="AU146" s="1664"/>
      <c r="AV146" s="1680"/>
      <c r="AW146" s="1680"/>
      <c r="AX146" s="1680"/>
      <c r="AY146" s="1680"/>
      <c r="AZ146" s="1680"/>
      <c r="BA146" s="1680"/>
      <c r="BB146" s="1680"/>
      <c r="BC146" s="1792"/>
      <c r="BD146" s="935"/>
      <c r="BE146" s="935"/>
      <c r="BF146" s="1171" t="s">
        <v>1027</v>
      </c>
    </row>
    <row s="1642" customFormat="1" customHeight="1" ht="14.25">
      <c r="A147" s="1498"/>
      <c r="B147" s="925"/>
      <c r="C147" s="1498"/>
      <c r="D147" s="1498"/>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98"/>
      <c r="V147" s="1498"/>
      <c r="W147" s="1498"/>
      <c r="X147" s="1498"/>
      <c r="Y147" s="1498"/>
      <c r="Z147" s="1498"/>
      <c r="AA147" s="935"/>
      <c r="AB147" s="486" t="str">
        <f>AB145&amp;".2"</f>
        <v>2.4.2</v>
      </c>
      <c r="AC147" s="488" t="s">
        <v>998</v>
      </c>
      <c r="AD147" s="486" t="s">
        <v>986</v>
      </c>
      <c r="AE147" s="1680"/>
      <c r="AF147" s="1680"/>
      <c r="AG147" s="1680"/>
      <c r="AH147" s="1680"/>
      <c r="AI147" s="280"/>
      <c r="AJ147" s="1664"/>
      <c r="AK147" s="1664"/>
      <c r="AL147" s="1680"/>
      <c r="AM147" s="1680"/>
      <c r="AN147" s="1680"/>
      <c r="AO147" s="1680"/>
      <c r="AP147" s="1680"/>
      <c r="AQ147" s="1680"/>
      <c r="AR147" s="1680"/>
      <c r="AS147" s="280"/>
      <c r="AT147" s="1664"/>
      <c r="AU147" s="1664"/>
      <c r="AV147" s="1680"/>
      <c r="AW147" s="1680"/>
      <c r="AX147" s="1680"/>
      <c r="AY147" s="1680"/>
      <c r="AZ147" s="1680"/>
      <c r="BA147" s="1680"/>
      <c r="BB147" s="1680"/>
      <c r="BC147" s="1792"/>
      <c r="BD147" s="935"/>
      <c r="BE147" s="935"/>
      <c r="BF147" s="1171" t="s">
        <v>1028</v>
      </c>
    </row>
    <row s="1642" customFormat="1" customHeight="1" ht="14.25">
      <c r="A148" s="1498"/>
      <c r="B148" s="925"/>
      <c r="C148" s="1498"/>
      <c r="D148" s="1498"/>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98"/>
      <c r="V148" s="1498"/>
      <c r="W148" s="1498"/>
      <c r="X148" s="1498"/>
      <c r="Y148" s="1498"/>
      <c r="Z148" s="1498"/>
      <c r="AA148" s="935"/>
      <c r="AB148" s="486" t="str">
        <f>AB145&amp;".3"</f>
        <v>2.4.3</v>
      </c>
      <c r="AC148" s="488" t="s">
        <v>1001</v>
      </c>
      <c r="AD148" s="486" t="s">
        <v>986</v>
      </c>
      <c r="AE148" s="1680"/>
      <c r="AF148" s="1680"/>
      <c r="AG148" s="1680"/>
      <c r="AH148" s="1680"/>
      <c r="AI148" s="280"/>
      <c r="AJ148" s="1664"/>
      <c r="AK148" s="1664"/>
      <c r="AL148" s="1680"/>
      <c r="AM148" s="1680"/>
      <c r="AN148" s="1680"/>
      <c r="AO148" s="1680"/>
      <c r="AP148" s="1680"/>
      <c r="AQ148" s="1680"/>
      <c r="AR148" s="1680"/>
      <c r="AS148" s="280"/>
      <c r="AT148" s="1664"/>
      <c r="AU148" s="1664"/>
      <c r="AV148" s="1680"/>
      <c r="AW148" s="1680"/>
      <c r="AX148" s="1680"/>
      <c r="AY148" s="1680"/>
      <c r="AZ148" s="1680"/>
      <c r="BA148" s="1680"/>
      <c r="BB148" s="1680"/>
      <c r="BC148" s="1792"/>
      <c r="BD148" s="935"/>
      <c r="BE148" s="935"/>
      <c r="BF148" s="1171" t="s">
        <v>1029</v>
      </c>
    </row>
    <row s="1642" customFormat="1" customHeight="1" ht="14.25">
      <c r="A149" s="1498"/>
      <c r="B149" s="925"/>
      <c r="C149" s="1498"/>
      <c r="D149" s="1498"/>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98"/>
      <c r="V149" s="1498"/>
      <c r="W149" s="1498"/>
      <c r="X149" s="1498"/>
      <c r="Y149" s="1498"/>
      <c r="Z149" s="1498"/>
      <c r="AA149" s="935"/>
      <c r="AB149" s="486" t="str">
        <f>AB145&amp;".4"</f>
        <v>2.4.4</v>
      </c>
      <c r="AC149" s="488" t="s">
        <v>1004</v>
      </c>
      <c r="AD149" s="486" t="s">
        <v>986</v>
      </c>
      <c r="AE149" s="1680"/>
      <c r="AF149" s="1680"/>
      <c r="AG149" s="1680"/>
      <c r="AH149" s="1680"/>
      <c r="AI149" s="280"/>
      <c r="AJ149" s="1664"/>
      <c r="AK149" s="1664"/>
      <c r="AL149" s="1680"/>
      <c r="AM149" s="1680"/>
      <c r="AN149" s="1680"/>
      <c r="AO149" s="1680"/>
      <c r="AP149" s="1680"/>
      <c r="AQ149" s="1680"/>
      <c r="AR149" s="1680"/>
      <c r="AS149" s="280"/>
      <c r="AT149" s="1664"/>
      <c r="AU149" s="1664"/>
      <c r="AV149" s="1680"/>
      <c r="AW149" s="1680"/>
      <c r="AX149" s="1680"/>
      <c r="AY149" s="1680"/>
      <c r="AZ149" s="1680"/>
      <c r="BA149" s="1680"/>
      <c r="BB149" s="1680"/>
      <c r="BC149" s="1792"/>
      <c r="BD149" s="935"/>
      <c r="BE149" s="935"/>
      <c r="BF149" s="1171" t="s">
        <v>1030</v>
      </c>
    </row>
    <row s="1642" customFormat="1" customHeight="1" ht="14.25">
      <c r="A150" s="1498"/>
      <c r="B150" s="925"/>
      <c r="C150" s="1498"/>
      <c r="D150" s="1498"/>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98"/>
      <c r="V150" s="1498"/>
      <c r="W150" s="1498"/>
      <c r="X150" s="1498"/>
      <c r="Y150" s="1498"/>
      <c r="Z150" s="1498"/>
      <c r="AA150" s="935"/>
      <c r="AB150" s="486" t="str">
        <f>AB145&amp;".5"</f>
        <v>2.4.5</v>
      </c>
      <c r="AC150" s="488" t="s">
        <v>1007</v>
      </c>
      <c r="AD150" s="486" t="s">
        <v>986</v>
      </c>
      <c r="AE150" s="1680"/>
      <c r="AF150" s="1680"/>
      <c r="AG150" s="1680"/>
      <c r="AH150" s="1680"/>
      <c r="AI150" s="280"/>
      <c r="AJ150" s="1664"/>
      <c r="AK150" s="1664"/>
      <c r="AL150" s="1680"/>
      <c r="AM150" s="1680"/>
      <c r="AN150" s="1680"/>
      <c r="AO150" s="1680"/>
      <c r="AP150" s="1680"/>
      <c r="AQ150" s="1680"/>
      <c r="AR150" s="1680"/>
      <c r="AS150" s="280"/>
      <c r="AT150" s="1664"/>
      <c r="AU150" s="1664"/>
      <c r="AV150" s="1680"/>
      <c r="AW150" s="1680"/>
      <c r="AX150" s="1680"/>
      <c r="AY150" s="1680"/>
      <c r="AZ150" s="1680"/>
      <c r="BA150" s="1680"/>
      <c r="BB150" s="1680"/>
      <c r="BC150" s="1792"/>
      <c r="BD150" s="935"/>
      <c r="BE150" s="935"/>
      <c r="BF150" s="1171" t="s">
        <v>1031</v>
      </c>
    </row>
    <row s="1642" customFormat="1" customHeight="1" ht="14.25">
      <c r="A151" s="1498"/>
      <c r="B151" s="925"/>
      <c r="C151" s="1498"/>
      <c r="D151" s="1498"/>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98"/>
      <c r="V151" s="1498"/>
      <c r="W151" s="1498"/>
      <c r="X151" s="1498"/>
      <c r="Y151" s="1498"/>
      <c r="Z151" s="1498"/>
      <c r="AA151" s="935"/>
      <c r="AB151" s="486" t="str">
        <f>AB141&amp;".5"</f>
        <v>2.5</v>
      </c>
      <c r="AC151" s="487" t="s">
        <v>1010</v>
      </c>
      <c r="AD151" s="486" t="s">
        <v>986</v>
      </c>
      <c r="AE151" s="1680"/>
      <c r="AF151" s="1680"/>
      <c r="AG151" s="1680"/>
      <c r="AH151" s="1680"/>
      <c r="AI151" s="280"/>
      <c r="AJ151" s="1664"/>
      <c r="AK151" s="1664"/>
      <c r="AL151" s="1680"/>
      <c r="AM151" s="1680"/>
      <c r="AN151" s="1680"/>
      <c r="AO151" s="1680"/>
      <c r="AP151" s="1680"/>
      <c r="AQ151" s="1680"/>
      <c r="AR151" s="1680"/>
      <c r="AS151" s="280"/>
      <c r="AT151" s="1664"/>
      <c r="AU151" s="1664"/>
      <c r="AV151" s="1680"/>
      <c r="AW151" s="1680"/>
      <c r="AX151" s="1680"/>
      <c r="AY151" s="1680"/>
      <c r="AZ151" s="1680"/>
      <c r="BA151" s="1680"/>
      <c r="BB151" s="1680"/>
      <c r="BC151" s="1792"/>
      <c r="BD151" s="935"/>
      <c r="BE151" s="935"/>
      <c r="BF151" s="1171" t="s">
        <v>1032</v>
      </c>
    </row>
    <row s="1642" customFormat="1" customHeight="1" ht="14.25">
      <c r="A152" s="1498"/>
      <c r="B152" s="925"/>
      <c r="C152" s="1498"/>
      <c r="D152" s="1498"/>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98"/>
      <c r="V152" s="1498"/>
      <c r="W152" s="1498"/>
      <c r="X152" s="1498"/>
      <c r="Y152" s="1498"/>
      <c r="Z152" s="1498"/>
      <c r="AA152" s="935"/>
      <c r="AB152" s="486" t="str">
        <f>AB141&amp;".6"</f>
        <v>2.6</v>
      </c>
      <c r="AC152" s="487" t="s">
        <v>1013</v>
      </c>
      <c r="AD152" s="486" t="s">
        <v>986</v>
      </c>
      <c r="AE152" s="1680"/>
      <c r="AF152" s="1680"/>
      <c r="AG152" s="1680"/>
      <c r="AH152" s="1680"/>
      <c r="AI152" s="280"/>
      <c r="AJ152" s="1664"/>
      <c r="AK152" s="1664"/>
      <c r="AL152" s="1680"/>
      <c r="AM152" s="1680"/>
      <c r="AN152" s="1680"/>
      <c r="AO152" s="1680"/>
      <c r="AP152" s="1680"/>
      <c r="AQ152" s="1680"/>
      <c r="AR152" s="1680"/>
      <c r="AS152" s="280"/>
      <c r="AT152" s="1664"/>
      <c r="AU152" s="1664"/>
      <c r="AV152" s="1680"/>
      <c r="AW152" s="1680"/>
      <c r="AX152" s="1680"/>
      <c r="AY152" s="1680"/>
      <c r="AZ152" s="1680"/>
      <c r="BA152" s="1680"/>
      <c r="BB152" s="1680"/>
      <c r="BC152" s="1792"/>
      <c r="BD152" s="935"/>
      <c r="BE152" s="935"/>
      <c r="BF152" s="1171" t="s">
        <v>1033</v>
      </c>
    </row>
    <row s="1642" customFormat="1" customHeight="1" ht="14.25">
      <c r="A153" s="1498"/>
      <c r="B153" s="925"/>
      <c r="C153" s="1498"/>
      <c r="D153" s="1498"/>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98"/>
      <c r="V153" s="1498"/>
      <c r="W153" s="1498"/>
      <c r="X153" s="1498"/>
      <c r="Y153" s="1498"/>
      <c r="Z153" s="1498"/>
      <c r="AA153" s="935"/>
      <c r="AB153" s="486" t="str">
        <f>AB141&amp;".7"</f>
        <v>2.7</v>
      </c>
      <c r="AC153" s="487" t="s">
        <v>1016</v>
      </c>
      <c r="AD153" s="486" t="s">
        <v>986</v>
      </c>
      <c r="AE153" s="1680"/>
      <c r="AF153" s="1680"/>
      <c r="AG153" s="1680"/>
      <c r="AH153" s="1680"/>
      <c r="AI153" s="280"/>
      <c r="AJ153" s="1664"/>
      <c r="AK153" s="1664"/>
      <c r="AL153" s="1680"/>
      <c r="AM153" s="1680"/>
      <c r="AN153" s="1680"/>
      <c r="AO153" s="1680"/>
      <c r="AP153" s="1680"/>
      <c r="AQ153" s="1680"/>
      <c r="AR153" s="1680"/>
      <c r="AS153" s="280"/>
      <c r="AT153" s="1664"/>
      <c r="AU153" s="1664"/>
      <c r="AV153" s="1680"/>
      <c r="AW153" s="1680"/>
      <c r="AX153" s="1680"/>
      <c r="AY153" s="1680"/>
      <c r="AZ153" s="1680"/>
      <c r="BA153" s="1680"/>
      <c r="BB153" s="1680"/>
      <c r="BC153" s="1792"/>
      <c r="BD153" s="935"/>
      <c r="BE153" s="935"/>
      <c r="BF153" s="1171" t="s">
        <v>1034</v>
      </c>
    </row>
    <row s="1642" customFormat="1" customHeight="1" ht="14.25">
      <c r="A154" s="1498"/>
      <c r="B154" s="925"/>
      <c r="C154" s="1498"/>
      <c r="D154" s="1498"/>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98"/>
      <c r="V154" s="1498"/>
      <c r="W154" s="1498"/>
      <c r="X154" s="1498"/>
      <c r="Y154" s="1498"/>
      <c r="Z154" s="1498"/>
      <c r="AA154" s="935"/>
      <c r="AB154" s="486" t="str">
        <f>AB141&amp;".8"</f>
        <v>2.8</v>
      </c>
      <c r="AC154" s="487" t="s">
        <v>1019</v>
      </c>
      <c r="AD154" s="486" t="s">
        <v>986</v>
      </c>
      <c r="AE154" s="1680"/>
      <c r="AF154" s="1680"/>
      <c r="AG154" s="1680"/>
      <c r="AH154" s="1680"/>
      <c r="AI154" s="280"/>
      <c r="AJ154" s="1664"/>
      <c r="AK154" s="1664"/>
      <c r="AL154" s="1680"/>
      <c r="AM154" s="1680"/>
      <c r="AN154" s="1680"/>
      <c r="AO154" s="1680"/>
      <c r="AP154" s="1680"/>
      <c r="AQ154" s="1680"/>
      <c r="AR154" s="1680"/>
      <c r="AS154" s="280"/>
      <c r="AT154" s="1664"/>
      <c r="AU154" s="1664"/>
      <c r="AV154" s="1680"/>
      <c r="AW154" s="1680"/>
      <c r="AX154" s="1680"/>
      <c r="AY154" s="1680"/>
      <c r="AZ154" s="1680"/>
      <c r="BA154" s="1680"/>
      <c r="BB154" s="1680"/>
      <c r="BC154" s="1792"/>
      <c r="BD154" s="935"/>
      <c r="BE154" s="935"/>
      <c r="BF154" s="1171" t="s">
        <v>1035</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1036</v>
      </c>
      <c r="AD155" s="153" t="s">
        <v>799</v>
      </c>
      <c r="AE155" s="1863">
        <v>313231.22393</v>
      </c>
      <c r="AF155" s="1863">
        <v>896494.89239</v>
      </c>
      <c r="AG155" s="1863">
        <v>313231.22393</v>
      </c>
      <c r="AH155" s="1863">
        <v>313231.22393</v>
      </c>
      <c r="AI155" s="292">
        <v>313231.22393</v>
      </c>
      <c r="AJ155" s="1848">
        <f>SUM(AJ156:AJ159)+SUM(AJ165:AJ168)</f>
        <v>0</v>
      </c>
      <c r="AK155" s="1848">
        <f>SUM(AK156:AK159)+SUM(AK165:AK168)</f>
        <v>0</v>
      </c>
      <c r="AL155" s="1863">
        <f>SUM(AL156:AL159)+SUM(AL165:AL168)</f>
        <v>0</v>
      </c>
      <c r="AM155" s="1863">
        <f>SUM(AM156:AM159)+SUM(AM165:AM168)</f>
        <v>0</v>
      </c>
      <c r="AN155" s="1863">
        <f>SUM(AN156:AN159)+SUM(AN165:AN168)</f>
        <v>0</v>
      </c>
      <c r="AO155" s="1863">
        <f>SUM(AO156:AO159)+SUM(AO165:AO168)</f>
        <v>0</v>
      </c>
      <c r="AP155" s="1863">
        <f>SUM(AP156:AP159)+SUM(AP165:AP168)</f>
        <v>0</v>
      </c>
      <c r="AQ155" s="1863">
        <f>SUM(AQ156:AQ159)+SUM(AQ165:AQ168)</f>
        <v>0</v>
      </c>
      <c r="AR155" s="1863">
        <f>SUM(AR156:AR159)+SUM(AR165:AR168)</f>
        <v>0</v>
      </c>
      <c r="AS155" s="292">
        <v>313231.22393</v>
      </c>
      <c r="AT155" s="1848">
        <f>SUM(AT156:AT159)+SUM(AT165:AT168)</f>
        <v>0</v>
      </c>
      <c r="AU155" s="1848">
        <f>SUM(AU156:AU159)+SUM(AU165:AU168)</f>
        <v>0</v>
      </c>
      <c r="AV155" s="1863">
        <f>SUM(AV156:AV159)+SUM(AV165:AV168)</f>
        <v>0</v>
      </c>
      <c r="AW155" s="1863">
        <f>SUM(AW156:AW159)+SUM(AW165:AW168)</f>
        <v>0</v>
      </c>
      <c r="AX155" s="1863">
        <f>SUM(AX156:AX159)+SUM(AX165:AX168)</f>
        <v>0</v>
      </c>
      <c r="AY155" s="1863">
        <f>SUM(AY156:AY159)+SUM(AY165:AY168)</f>
        <v>0</v>
      </c>
      <c r="AZ155" s="1863">
        <f>SUM(AZ156:AZ159)+SUM(AZ165:AZ168)</f>
        <v>0</v>
      </c>
      <c r="BA155" s="1863">
        <f>SUM(BA156:BA159)+SUM(BA165:BA168)</f>
        <v>0</v>
      </c>
      <c r="BB155" s="1863">
        <f>SUM(BB156:BB159)+SUM(BB165:BB168)</f>
        <v>0</v>
      </c>
      <c r="BC155" s="1792"/>
      <c r="BD155" s="214"/>
      <c r="BE155" s="214"/>
      <c r="BF155" s="1171" t="s">
        <v>1037</v>
      </c>
    </row>
    <row s="1642" customFormat="1" customHeight="1" ht="14.25">
      <c r="A156" s="1498"/>
      <c r="B156" s="925"/>
      <c r="C156" s="1498"/>
      <c r="D156" s="1498"/>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98"/>
      <c r="V156" s="1498"/>
      <c r="W156" s="1498"/>
      <c r="X156" s="1498"/>
      <c r="Y156" s="1498"/>
      <c r="Z156" s="1498"/>
      <c r="AA156" s="935"/>
      <c r="AB156" s="486" t="str">
        <f>AB155&amp;".1"</f>
        <v>3.1</v>
      </c>
      <c r="AC156" s="487" t="s">
        <v>985</v>
      </c>
      <c r="AD156" s="486" t="s">
        <v>986</v>
      </c>
      <c r="AE156" s="1680"/>
      <c r="AF156" s="1680"/>
      <c r="AG156" s="1680"/>
      <c r="AH156" s="1680"/>
      <c r="AI156" s="280"/>
      <c r="AJ156" s="1664"/>
      <c r="AK156" s="1664"/>
      <c r="AL156" s="1680"/>
      <c r="AM156" s="1680"/>
      <c r="AN156" s="1680"/>
      <c r="AO156" s="1680"/>
      <c r="AP156" s="1680"/>
      <c r="AQ156" s="1680"/>
      <c r="AR156" s="1680"/>
      <c r="AS156" s="280"/>
      <c r="AT156" s="1664"/>
      <c r="AU156" s="1664"/>
      <c r="AV156" s="1680"/>
      <c r="AW156" s="1680"/>
      <c r="AX156" s="1680"/>
      <c r="AY156" s="1680"/>
      <c r="AZ156" s="1680"/>
      <c r="BA156" s="1680"/>
      <c r="BB156" s="1680"/>
      <c r="BC156" s="1792"/>
      <c r="BD156" s="935"/>
      <c r="BE156" s="935"/>
      <c r="BF156" s="1171" t="s">
        <v>1038</v>
      </c>
    </row>
    <row s="1642" customFormat="1" customHeight="1" ht="14.25">
      <c r="A157" s="1498"/>
      <c r="B157" s="925"/>
      <c r="C157" s="1498"/>
      <c r="D157" s="1498"/>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98"/>
      <c r="V157" s="1498"/>
      <c r="W157" s="1498"/>
      <c r="X157" s="1498"/>
      <c r="Y157" s="1498"/>
      <c r="Z157" s="1498"/>
      <c r="AA157" s="935"/>
      <c r="AB157" s="486" t="str">
        <f>AB155&amp;".2"</f>
        <v>3.2</v>
      </c>
      <c r="AC157" s="487" t="s">
        <v>988</v>
      </c>
      <c r="AD157" s="486" t="s">
        <v>986</v>
      </c>
      <c r="AE157" s="1680">
        <v>118792.55538</v>
      </c>
      <c r="AF157" s="1680"/>
      <c r="AG157" s="1680">
        <v>118792.55538</v>
      </c>
      <c r="AH157" s="1680">
        <v>118792.55538</v>
      </c>
      <c r="AI157" s="280">
        <v>118792.55538</v>
      </c>
      <c r="AJ157" s="1664"/>
      <c r="AK157" s="1664"/>
      <c r="AL157" s="1680"/>
      <c r="AM157" s="1680"/>
      <c r="AN157" s="1680"/>
      <c r="AO157" s="1680"/>
      <c r="AP157" s="1680"/>
      <c r="AQ157" s="1680"/>
      <c r="AR157" s="1680"/>
      <c r="AS157" s="280">
        <v>118792.55538</v>
      </c>
      <c r="AT157" s="1664"/>
      <c r="AU157" s="1664"/>
      <c r="AV157" s="1680"/>
      <c r="AW157" s="1680"/>
      <c r="AX157" s="1680"/>
      <c r="AY157" s="1680"/>
      <c r="AZ157" s="1680"/>
      <c r="BA157" s="1680"/>
      <c r="BB157" s="1680"/>
      <c r="BC157" s="1792"/>
      <c r="BD157" s="935"/>
      <c r="BE157" s="935"/>
      <c r="BF157" s="1171" t="s">
        <v>1039</v>
      </c>
    </row>
    <row s="1642" customFormat="1" customHeight="1" ht="14.25">
      <c r="A158" s="1498"/>
      <c r="B158" s="925"/>
      <c r="C158" s="1498"/>
      <c r="D158" s="1498"/>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98"/>
      <c r="V158" s="1498"/>
      <c r="W158" s="1498"/>
      <c r="X158" s="1498"/>
      <c r="Y158" s="1498"/>
      <c r="Z158" s="1498"/>
      <c r="AA158" s="935"/>
      <c r="AB158" s="486" t="str">
        <f>AB155&amp;".3"</f>
        <v>3.3</v>
      </c>
      <c r="AC158" s="487" t="s">
        <v>990</v>
      </c>
      <c r="AD158" s="486" t="s">
        <v>986</v>
      </c>
      <c r="AE158" s="1680"/>
      <c r="AF158" s="1680"/>
      <c r="AG158" s="1680"/>
      <c r="AH158" s="1680"/>
      <c r="AI158" s="280"/>
      <c r="AJ158" s="1664"/>
      <c r="AK158" s="1664"/>
      <c r="AL158" s="1680"/>
      <c r="AM158" s="1680"/>
      <c r="AN158" s="1680"/>
      <c r="AO158" s="1680"/>
      <c r="AP158" s="1680"/>
      <c r="AQ158" s="1680"/>
      <c r="AR158" s="1680"/>
      <c r="AS158" s="280"/>
      <c r="AT158" s="1664"/>
      <c r="AU158" s="1664"/>
      <c r="AV158" s="1680"/>
      <c r="AW158" s="1680"/>
      <c r="AX158" s="1680"/>
      <c r="AY158" s="1680"/>
      <c r="AZ158" s="1680"/>
      <c r="BA158" s="1680"/>
      <c r="BB158" s="1680"/>
      <c r="BC158" s="1792"/>
      <c r="BD158" s="935"/>
      <c r="BE158" s="935"/>
      <c r="BF158" s="1171" t="s">
        <v>1040</v>
      </c>
    </row>
    <row s="1642" customFormat="1" customHeight="1" ht="14.25">
      <c r="A159" s="1498"/>
      <c r="B159" s="925"/>
      <c r="C159" s="1498"/>
      <c r="D159" s="1498"/>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98"/>
      <c r="V159" s="1498"/>
      <c r="W159" s="1498"/>
      <c r="X159" s="1498"/>
      <c r="Y159" s="1498"/>
      <c r="Z159" s="1498"/>
      <c r="AA159" s="935"/>
      <c r="AB159" s="486" t="str">
        <f>AB155&amp;".4"</f>
        <v>3.4</v>
      </c>
      <c r="AC159" s="487" t="s">
        <v>992</v>
      </c>
      <c r="AD159" s="486" t="s">
        <v>986</v>
      </c>
      <c r="AE159" s="1793">
        <f>SUM(AE160:AE164)</f>
        <v>0</v>
      </c>
      <c r="AF159" s="1793">
        <v>702056.22384</v>
      </c>
      <c r="AG159" s="1793">
        <f>SUM(AG160:AG164)</f>
        <v>0</v>
      </c>
      <c r="AH159" s="1793">
        <f>SUM(AH160:AH164)</f>
        <v>0</v>
      </c>
      <c r="AI159" s="481">
        <f>SUM(AI160:AI164)</f>
        <v>0</v>
      </c>
      <c r="AJ159" s="1787">
        <f>SUM(AJ160:AJ164)</f>
        <v>0</v>
      </c>
      <c r="AK159" s="1787">
        <f>SUM(AK160:AK164)</f>
        <v>0</v>
      </c>
      <c r="AL159" s="1793">
        <f>SUM(AL160:AL164)</f>
        <v>0</v>
      </c>
      <c r="AM159" s="1793">
        <f>SUM(AM160:AM164)</f>
        <v>0</v>
      </c>
      <c r="AN159" s="1793">
        <f>SUM(AN160:AN164)</f>
        <v>0</v>
      </c>
      <c r="AO159" s="1793">
        <f>SUM(AO160:AO164)</f>
        <v>0</v>
      </c>
      <c r="AP159" s="1793">
        <f>SUM(AP160:AP164)</f>
        <v>0</v>
      </c>
      <c r="AQ159" s="1793">
        <f>SUM(AQ160:AQ164)</f>
        <v>0</v>
      </c>
      <c r="AR159" s="1793">
        <f>SUM(AR160:AR164)</f>
        <v>0</v>
      </c>
      <c r="AS159" s="481">
        <f>SUM(AS160:AS164)</f>
        <v>0</v>
      </c>
      <c r="AT159" s="1787">
        <f>SUM(AT160:AT164)</f>
        <v>0</v>
      </c>
      <c r="AU159" s="1787">
        <f>SUM(AU160:AU164)</f>
        <v>0</v>
      </c>
      <c r="AV159" s="1793">
        <f>SUM(AV160:AV164)</f>
        <v>0</v>
      </c>
      <c r="AW159" s="1793">
        <f>SUM(AW160:AW164)</f>
        <v>0</v>
      </c>
      <c r="AX159" s="1793">
        <f>SUM(AX160:AX164)</f>
        <v>0</v>
      </c>
      <c r="AY159" s="1793">
        <f>SUM(AY160:AY164)</f>
        <v>0</v>
      </c>
      <c r="AZ159" s="1793">
        <f>SUM(AZ160:AZ164)</f>
        <v>0</v>
      </c>
      <c r="BA159" s="1793">
        <f>SUM(BA160:BA164)</f>
        <v>0</v>
      </c>
      <c r="BB159" s="1793">
        <f>SUM(BB160:BB164)</f>
        <v>0</v>
      </c>
      <c r="BC159" s="1792"/>
      <c r="BD159" s="935"/>
      <c r="BE159" s="935"/>
      <c r="BF159" s="1171" t="s">
        <v>1041</v>
      </c>
    </row>
    <row s="1642" customFormat="1" customHeight="1" ht="14.25">
      <c r="A160" s="1498"/>
      <c r="B160" s="925"/>
      <c r="C160" s="1498"/>
      <c r="D160" s="1498"/>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98"/>
      <c r="V160" s="1498"/>
      <c r="W160" s="1498"/>
      <c r="X160" s="1498"/>
      <c r="Y160" s="1498"/>
      <c r="Z160" s="1498"/>
      <c r="AA160" s="935"/>
      <c r="AB160" s="486" t="str">
        <f>AB159&amp;".1"</f>
        <v>3.4.1</v>
      </c>
      <c r="AC160" s="488" t="s">
        <v>995</v>
      </c>
      <c r="AD160" s="486" t="s">
        <v>986</v>
      </c>
      <c r="AE160" s="1680"/>
      <c r="AF160" s="1680"/>
      <c r="AG160" s="1680"/>
      <c r="AH160" s="1680"/>
      <c r="AI160" s="280"/>
      <c r="AJ160" s="1664"/>
      <c r="AK160" s="1664"/>
      <c r="AL160" s="1680"/>
      <c r="AM160" s="1680"/>
      <c r="AN160" s="1680"/>
      <c r="AO160" s="1680"/>
      <c r="AP160" s="1680"/>
      <c r="AQ160" s="1680"/>
      <c r="AR160" s="1680"/>
      <c r="AS160" s="280"/>
      <c r="AT160" s="1664"/>
      <c r="AU160" s="1664"/>
      <c r="AV160" s="1680"/>
      <c r="AW160" s="1680"/>
      <c r="AX160" s="1680"/>
      <c r="AY160" s="1680"/>
      <c r="AZ160" s="1680"/>
      <c r="BA160" s="1680"/>
      <c r="BB160" s="1680"/>
      <c r="BC160" s="1792"/>
      <c r="BD160" s="935"/>
      <c r="BE160" s="935"/>
      <c r="BF160" s="1171" t="s">
        <v>1042</v>
      </c>
    </row>
    <row s="1642" customFormat="1" customHeight="1" ht="14.25">
      <c r="A161" s="1498"/>
      <c r="B161" s="925"/>
      <c r="C161" s="1498"/>
      <c r="D161" s="1498"/>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98"/>
      <c r="V161" s="1498"/>
      <c r="W161" s="1498"/>
      <c r="X161" s="1498"/>
      <c r="Y161" s="1498"/>
      <c r="Z161" s="1498"/>
      <c r="AA161" s="935"/>
      <c r="AB161" s="486" t="str">
        <f>AB159&amp;".2"</f>
        <v>3.4.2</v>
      </c>
      <c r="AC161" s="488" t="s">
        <v>998</v>
      </c>
      <c r="AD161" s="486" t="s">
        <v>986</v>
      </c>
      <c r="AE161" s="1680"/>
      <c r="AF161" s="1680">
        <v>689893.70745</v>
      </c>
      <c r="AG161" s="1680"/>
      <c r="AH161" s="1680"/>
      <c r="AI161" s="280"/>
      <c r="AJ161" s="1664"/>
      <c r="AK161" s="1664"/>
      <c r="AL161" s="1680"/>
      <c r="AM161" s="1680"/>
      <c r="AN161" s="1680"/>
      <c r="AO161" s="1680"/>
      <c r="AP161" s="1680"/>
      <c r="AQ161" s="1680"/>
      <c r="AR161" s="1680"/>
      <c r="AS161" s="280"/>
      <c r="AT161" s="1664"/>
      <c r="AU161" s="1664"/>
      <c r="AV161" s="1680"/>
      <c r="AW161" s="1680"/>
      <c r="AX161" s="1680"/>
      <c r="AY161" s="1680"/>
      <c r="AZ161" s="1680"/>
      <c r="BA161" s="1680"/>
      <c r="BB161" s="1680"/>
      <c r="BC161" s="1792"/>
      <c r="BD161" s="935"/>
      <c r="BE161" s="935"/>
      <c r="BF161" s="1171" t="s">
        <v>1043</v>
      </c>
    </row>
    <row s="1642" customFormat="1" customHeight="1" ht="14.25">
      <c r="A162" s="1498"/>
      <c r="B162" s="925"/>
      <c r="C162" s="1498"/>
      <c r="D162" s="1498"/>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98"/>
      <c r="V162" s="1498"/>
      <c r="W162" s="1498"/>
      <c r="X162" s="1498"/>
      <c r="Y162" s="1498"/>
      <c r="Z162" s="1498"/>
      <c r="AA162" s="935"/>
      <c r="AB162" s="486" t="str">
        <f>AB159&amp;".3"</f>
        <v>3.4.3</v>
      </c>
      <c r="AC162" s="488" t="s">
        <v>1001</v>
      </c>
      <c r="AD162" s="486" t="s">
        <v>986</v>
      </c>
      <c r="AE162" s="1680"/>
      <c r="AF162" s="1680"/>
      <c r="AG162" s="1680"/>
      <c r="AH162" s="1680"/>
      <c r="AI162" s="280"/>
      <c r="AJ162" s="1664"/>
      <c r="AK162" s="1664"/>
      <c r="AL162" s="1680"/>
      <c r="AM162" s="1680"/>
      <c r="AN162" s="1680"/>
      <c r="AO162" s="1680"/>
      <c r="AP162" s="1680"/>
      <c r="AQ162" s="1680"/>
      <c r="AR162" s="1680"/>
      <c r="AS162" s="280"/>
      <c r="AT162" s="1664"/>
      <c r="AU162" s="1664"/>
      <c r="AV162" s="1680"/>
      <c r="AW162" s="1680"/>
      <c r="AX162" s="1680"/>
      <c r="AY162" s="1680"/>
      <c r="AZ162" s="1680"/>
      <c r="BA162" s="1680"/>
      <c r="BB162" s="1680"/>
      <c r="BC162" s="1792"/>
      <c r="BD162" s="935"/>
      <c r="BE162" s="935"/>
      <c r="BF162" s="1171" t="s">
        <v>1044</v>
      </c>
    </row>
    <row s="1642" customFormat="1" customHeight="1" ht="14.25">
      <c r="A163" s="1498"/>
      <c r="B163" s="925"/>
      <c r="C163" s="1498"/>
      <c r="D163" s="1498"/>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98"/>
      <c r="V163" s="1498"/>
      <c r="W163" s="1498"/>
      <c r="X163" s="1498"/>
      <c r="Y163" s="1498"/>
      <c r="Z163" s="1498"/>
      <c r="AA163" s="935"/>
      <c r="AB163" s="486" t="str">
        <f>AB159&amp;".4"</f>
        <v>3.4.4</v>
      </c>
      <c r="AC163" s="488" t="s">
        <v>1004</v>
      </c>
      <c r="AD163" s="486" t="s">
        <v>986</v>
      </c>
      <c r="AE163" s="1680"/>
      <c r="AF163" s="1680"/>
      <c r="AG163" s="1680"/>
      <c r="AH163" s="1680"/>
      <c r="AI163" s="280"/>
      <c r="AJ163" s="1664"/>
      <c r="AK163" s="1664"/>
      <c r="AL163" s="1680"/>
      <c r="AM163" s="1680"/>
      <c r="AN163" s="1680"/>
      <c r="AO163" s="1680"/>
      <c r="AP163" s="1680"/>
      <c r="AQ163" s="1680"/>
      <c r="AR163" s="1680"/>
      <c r="AS163" s="280"/>
      <c r="AT163" s="1664"/>
      <c r="AU163" s="1664"/>
      <c r="AV163" s="1680"/>
      <c r="AW163" s="1680"/>
      <c r="AX163" s="1680"/>
      <c r="AY163" s="1680"/>
      <c r="AZ163" s="1680"/>
      <c r="BA163" s="1680"/>
      <c r="BB163" s="1680"/>
      <c r="BC163" s="1792"/>
      <c r="BD163" s="935"/>
      <c r="BE163" s="935"/>
      <c r="BF163" s="1171" t="s">
        <v>1045</v>
      </c>
    </row>
    <row s="1642" customFormat="1" customHeight="1" ht="14.25">
      <c r="A164" s="1498"/>
      <c r="B164" s="925"/>
      <c r="C164" s="1498"/>
      <c r="D164" s="1498"/>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98"/>
      <c r="V164" s="1498"/>
      <c r="W164" s="1498"/>
      <c r="X164" s="1498"/>
      <c r="Y164" s="1498"/>
      <c r="Z164" s="1498"/>
      <c r="AA164" s="935"/>
      <c r="AB164" s="486" t="str">
        <f>AB159&amp;".5"</f>
        <v>3.4.5</v>
      </c>
      <c r="AC164" s="488" t="s">
        <v>1007</v>
      </c>
      <c r="AD164" s="486" t="s">
        <v>986</v>
      </c>
      <c r="AE164" s="1680"/>
      <c r="AF164" s="1680">
        <v>12162.51639</v>
      </c>
      <c r="AG164" s="1680"/>
      <c r="AH164" s="1680"/>
      <c r="AI164" s="280"/>
      <c r="AJ164" s="1664"/>
      <c r="AK164" s="1664"/>
      <c r="AL164" s="1680"/>
      <c r="AM164" s="1680"/>
      <c r="AN164" s="1680"/>
      <c r="AO164" s="1680"/>
      <c r="AP164" s="1680"/>
      <c r="AQ164" s="1680"/>
      <c r="AR164" s="1680"/>
      <c r="AS164" s="280"/>
      <c r="AT164" s="1664"/>
      <c r="AU164" s="1664"/>
      <c r="AV164" s="1680"/>
      <c r="AW164" s="1680"/>
      <c r="AX164" s="1680"/>
      <c r="AY164" s="1680"/>
      <c r="AZ164" s="1680"/>
      <c r="BA164" s="1680"/>
      <c r="BB164" s="1680"/>
      <c r="BC164" s="1792"/>
      <c r="BD164" s="935"/>
      <c r="BE164" s="935"/>
      <c r="BF164" s="1171" t="s">
        <v>1046</v>
      </c>
    </row>
    <row s="1642" customFormat="1" customHeight="1" ht="14.25">
      <c r="A165" s="1498"/>
      <c r="B165" s="925"/>
      <c r="C165" s="1498"/>
      <c r="D165" s="1498"/>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98"/>
      <c r="V165" s="1498"/>
      <c r="W165" s="1498"/>
      <c r="X165" s="1498"/>
      <c r="Y165" s="1498"/>
      <c r="Z165" s="1498"/>
      <c r="AA165" s="935"/>
      <c r="AB165" s="486" t="str">
        <f>AB155&amp;".5"</f>
        <v>3.5</v>
      </c>
      <c r="AC165" s="487" t="s">
        <v>1010</v>
      </c>
      <c r="AD165" s="486" t="s">
        <v>986</v>
      </c>
      <c r="AE165" s="1680"/>
      <c r="AF165" s="1680"/>
      <c r="AG165" s="1680"/>
      <c r="AH165" s="1680"/>
      <c r="AI165" s="280"/>
      <c r="AJ165" s="1664"/>
      <c r="AK165" s="1664"/>
      <c r="AL165" s="1680"/>
      <c r="AM165" s="1680"/>
      <c r="AN165" s="1680"/>
      <c r="AO165" s="1680"/>
      <c r="AP165" s="1680"/>
      <c r="AQ165" s="1680"/>
      <c r="AR165" s="1680"/>
      <c r="AS165" s="280"/>
      <c r="AT165" s="1664"/>
      <c r="AU165" s="1664"/>
      <c r="AV165" s="1680"/>
      <c r="AW165" s="1680"/>
      <c r="AX165" s="1680"/>
      <c r="AY165" s="1680"/>
      <c r="AZ165" s="1680"/>
      <c r="BA165" s="1680"/>
      <c r="BB165" s="1680"/>
      <c r="BC165" s="1792"/>
      <c r="BD165" s="935"/>
      <c r="BE165" s="935"/>
      <c r="BF165" s="1171" t="s">
        <v>1047</v>
      </c>
    </row>
    <row s="1642" customFormat="1" customHeight="1" ht="14.25">
      <c r="A166" s="1498"/>
      <c r="B166" s="925"/>
      <c r="C166" s="1498"/>
      <c r="D166" s="1498"/>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98"/>
      <c r="V166" s="1498"/>
      <c r="W166" s="1498"/>
      <c r="X166" s="1498"/>
      <c r="Y166" s="1498"/>
      <c r="Z166" s="1498"/>
      <c r="AA166" s="935"/>
      <c r="AB166" s="486" t="str">
        <f>AB155&amp;".6"</f>
        <v>3.6</v>
      </c>
      <c r="AC166" s="487" t="s">
        <v>1013</v>
      </c>
      <c r="AD166" s="486" t="s">
        <v>986</v>
      </c>
      <c r="AE166" s="1680"/>
      <c r="AF166" s="1680"/>
      <c r="AG166" s="1680"/>
      <c r="AH166" s="1680"/>
      <c r="AI166" s="280"/>
      <c r="AJ166" s="1664"/>
      <c r="AK166" s="1664"/>
      <c r="AL166" s="1680"/>
      <c r="AM166" s="1680"/>
      <c r="AN166" s="1680"/>
      <c r="AO166" s="1680"/>
      <c r="AP166" s="1680"/>
      <c r="AQ166" s="1680"/>
      <c r="AR166" s="1680"/>
      <c r="AS166" s="280"/>
      <c r="AT166" s="1664"/>
      <c r="AU166" s="1664"/>
      <c r="AV166" s="1680"/>
      <c r="AW166" s="1680"/>
      <c r="AX166" s="1680"/>
      <c r="AY166" s="1680"/>
      <c r="AZ166" s="1680"/>
      <c r="BA166" s="1680"/>
      <c r="BB166" s="1680"/>
      <c r="BC166" s="1792"/>
      <c r="BD166" s="935"/>
      <c r="BE166" s="935"/>
      <c r="BF166" s="1171" t="s">
        <v>1048</v>
      </c>
    </row>
    <row s="1642" customFormat="1" customHeight="1" ht="14.25">
      <c r="A167" s="1498"/>
      <c r="B167" s="925"/>
      <c r="C167" s="1498"/>
      <c r="D167" s="1498"/>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98"/>
      <c r="V167" s="1498"/>
      <c r="W167" s="1498"/>
      <c r="X167" s="1498"/>
      <c r="Y167" s="1498"/>
      <c r="Z167" s="1498"/>
      <c r="AA167" s="935"/>
      <c r="AB167" s="486" t="str">
        <f>AB155&amp;".7"</f>
        <v>3.7</v>
      </c>
      <c r="AC167" s="487" t="s">
        <v>1016</v>
      </c>
      <c r="AD167" s="486" t="s">
        <v>986</v>
      </c>
      <c r="AE167" s="1680"/>
      <c r="AF167" s="1680"/>
      <c r="AG167" s="1680"/>
      <c r="AH167" s="1680"/>
      <c r="AI167" s="280"/>
      <c r="AJ167" s="1664"/>
      <c r="AK167" s="1664"/>
      <c r="AL167" s="1680"/>
      <c r="AM167" s="1680"/>
      <c r="AN167" s="1680"/>
      <c r="AO167" s="1680"/>
      <c r="AP167" s="1680"/>
      <c r="AQ167" s="1680"/>
      <c r="AR167" s="1680"/>
      <c r="AS167" s="280"/>
      <c r="AT167" s="1664"/>
      <c r="AU167" s="1664"/>
      <c r="AV167" s="1680"/>
      <c r="AW167" s="1680"/>
      <c r="AX167" s="1680"/>
      <c r="AY167" s="1680"/>
      <c r="AZ167" s="1680"/>
      <c r="BA167" s="1680"/>
      <c r="BB167" s="1680"/>
      <c r="BC167" s="1792"/>
      <c r="BD167" s="935"/>
      <c r="BE167" s="935"/>
      <c r="BF167" s="1171" t="s">
        <v>1049</v>
      </c>
    </row>
    <row s="1642" customFormat="1" customHeight="1" ht="14.25">
      <c r="A168" s="1498"/>
      <c r="B168" s="925"/>
      <c r="C168" s="1498"/>
      <c r="D168" s="1498"/>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98"/>
      <c r="V168" s="1498"/>
      <c r="W168" s="1498"/>
      <c r="X168" s="1498"/>
      <c r="Y168" s="1498"/>
      <c r="Z168" s="1498"/>
      <c r="AA168" s="935"/>
      <c r="AB168" s="486" t="str">
        <f>AB155&amp;".8"</f>
        <v>3.8</v>
      </c>
      <c r="AC168" s="487" t="s">
        <v>1019</v>
      </c>
      <c r="AD168" s="486" t="s">
        <v>986</v>
      </c>
      <c r="AE168" s="1680">
        <v>194438.66855</v>
      </c>
      <c r="AF168" s="1680">
        <v>194438.66855</v>
      </c>
      <c r="AG168" s="1680">
        <v>194438.66855</v>
      </c>
      <c r="AH168" s="1680">
        <v>194438.66855</v>
      </c>
      <c r="AI168" s="280">
        <v>194438.66855</v>
      </c>
      <c r="AJ168" s="1664"/>
      <c r="AK168" s="1664"/>
      <c r="AL168" s="1680"/>
      <c r="AM168" s="1680"/>
      <c r="AN168" s="1680"/>
      <c r="AO168" s="1680"/>
      <c r="AP168" s="1680"/>
      <c r="AQ168" s="1680"/>
      <c r="AR168" s="1680"/>
      <c r="AS168" s="280">
        <v>194438.66855</v>
      </c>
      <c r="AT168" s="1664"/>
      <c r="AU168" s="1664"/>
      <c r="AV168" s="1680"/>
      <c r="AW168" s="1680"/>
      <c r="AX168" s="1680"/>
      <c r="AY168" s="1680"/>
      <c r="AZ168" s="1680"/>
      <c r="BA168" s="1680"/>
      <c r="BB168" s="1680"/>
      <c r="BC168" s="1792"/>
      <c r="BD168" s="935"/>
      <c r="BE168" s="935"/>
      <c r="BF168" s="1171" t="s">
        <v>1050</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1051</v>
      </c>
      <c r="AD169" s="153" t="s">
        <v>799</v>
      </c>
      <c r="AE169" s="1863">
        <f>SUM(AE170:AE173)+SUM(AE179:AE182)</f>
        <v>0</v>
      </c>
      <c r="AF169" s="1863">
        <f>SUM(AF170:AF173)+SUM(AF179:AF182)</f>
        <v>0</v>
      </c>
      <c r="AG169" s="1863">
        <f>SUM(AG170:AG173)+SUM(AG179:AG182)</f>
        <v>0</v>
      </c>
      <c r="AH169" s="1863">
        <f>SUM(AH170:AH173)+SUM(AH179:AH182)</f>
        <v>0</v>
      </c>
      <c r="AI169" s="292">
        <f>SUM(AI170:AI173)+SUM(AI179:AI182)</f>
        <v>0</v>
      </c>
      <c r="AJ169" s="1848">
        <f>SUM(AJ170:AJ173)+SUM(AJ179:AJ182)</f>
        <v>0</v>
      </c>
      <c r="AK169" s="1848">
        <f>SUM(AK170:AK173)+SUM(AK179:AK182)</f>
        <v>0</v>
      </c>
      <c r="AL169" s="1863">
        <f>SUM(AL170:AL173)+SUM(AL179:AL182)</f>
        <v>0</v>
      </c>
      <c r="AM169" s="1863">
        <f>SUM(AM170:AM173)+SUM(AM179:AM182)</f>
        <v>0</v>
      </c>
      <c r="AN169" s="1863">
        <f>SUM(AN170:AN173)+SUM(AN179:AN182)</f>
        <v>0</v>
      </c>
      <c r="AO169" s="1863">
        <f>SUM(AO170:AO173)+SUM(AO179:AO182)</f>
        <v>0</v>
      </c>
      <c r="AP169" s="1863">
        <f>SUM(AP170:AP173)+SUM(AP179:AP182)</f>
        <v>0</v>
      </c>
      <c r="AQ169" s="1863">
        <f>SUM(AQ170:AQ173)+SUM(AQ179:AQ182)</f>
        <v>0</v>
      </c>
      <c r="AR169" s="1863">
        <f>SUM(AR170:AR173)+SUM(AR179:AR182)</f>
        <v>0</v>
      </c>
      <c r="AS169" s="292">
        <f>SUM(AS170:AS173)+SUM(AS179:AS182)</f>
        <v>0</v>
      </c>
      <c r="AT169" s="1848">
        <f>SUM(AT170:AT173)+SUM(AT179:AT182)</f>
        <v>0</v>
      </c>
      <c r="AU169" s="1848">
        <f>SUM(AU170:AU173)+SUM(AU179:AU182)</f>
        <v>0</v>
      </c>
      <c r="AV169" s="1863">
        <f>SUM(AV170:AV173)+SUM(AV179:AV182)</f>
        <v>0</v>
      </c>
      <c r="AW169" s="1863">
        <f>SUM(AW170:AW173)+SUM(AW179:AW182)</f>
        <v>0</v>
      </c>
      <c r="AX169" s="1863">
        <f>SUM(AX170:AX173)+SUM(AX179:AX182)</f>
        <v>0</v>
      </c>
      <c r="AY169" s="1863">
        <f>SUM(AY170:AY173)+SUM(AY179:AY182)</f>
        <v>0</v>
      </c>
      <c r="AZ169" s="1863">
        <f>SUM(AZ170:AZ173)+SUM(AZ179:AZ182)</f>
        <v>0</v>
      </c>
      <c r="BA169" s="1863">
        <f>SUM(BA170:BA173)+SUM(BA179:BA182)</f>
        <v>0</v>
      </c>
      <c r="BB169" s="1863">
        <f>SUM(BB170:BB173)+SUM(BB179:BB182)</f>
        <v>0</v>
      </c>
      <c r="BC169" s="1792"/>
      <c r="BD169" s="214"/>
      <c r="BE169" s="214"/>
      <c r="BF169" s="1171" t="s">
        <v>1052</v>
      </c>
    </row>
    <row s="1642" customFormat="1" customHeight="1" ht="14.25">
      <c r="A170" s="1498"/>
      <c r="B170" s="925"/>
      <c r="C170" s="1498"/>
      <c r="D170" s="1498"/>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98"/>
      <c r="V170" s="1498"/>
      <c r="W170" s="1498"/>
      <c r="X170" s="1498"/>
      <c r="Y170" s="1498"/>
      <c r="Z170" s="1498"/>
      <c r="AA170" s="935"/>
      <c r="AB170" s="486" t="str">
        <f>AB169&amp;".1"</f>
        <v>4.1</v>
      </c>
      <c r="AC170" s="487" t="s">
        <v>985</v>
      </c>
      <c r="AD170" s="486" t="s">
        <v>986</v>
      </c>
      <c r="AE170" s="1680"/>
      <c r="AF170" s="1680"/>
      <c r="AG170" s="1680"/>
      <c r="AH170" s="1680"/>
      <c r="AI170" s="280"/>
      <c r="AJ170" s="1664"/>
      <c r="AK170" s="1664"/>
      <c r="AL170" s="1680"/>
      <c r="AM170" s="1680"/>
      <c r="AN170" s="1680"/>
      <c r="AO170" s="1680"/>
      <c r="AP170" s="1680"/>
      <c r="AQ170" s="1680"/>
      <c r="AR170" s="1680"/>
      <c r="AS170" s="280"/>
      <c r="AT170" s="1664"/>
      <c r="AU170" s="1664"/>
      <c r="AV170" s="1680"/>
      <c r="AW170" s="1680"/>
      <c r="AX170" s="1680"/>
      <c r="AY170" s="1680"/>
      <c r="AZ170" s="1680"/>
      <c r="BA170" s="1680"/>
      <c r="BB170" s="1680"/>
      <c r="BC170" s="1792"/>
      <c r="BD170" s="935"/>
      <c r="BE170" s="935"/>
      <c r="BF170" s="1171" t="s">
        <v>1053</v>
      </c>
    </row>
    <row s="1642" customFormat="1" customHeight="1" ht="14.25">
      <c r="A171" s="1498"/>
      <c r="B171" s="925"/>
      <c r="C171" s="1498"/>
      <c r="D171" s="1498"/>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98"/>
      <c r="V171" s="1498"/>
      <c r="W171" s="1498"/>
      <c r="X171" s="1498"/>
      <c r="Y171" s="1498"/>
      <c r="Z171" s="1498"/>
      <c r="AA171" s="935"/>
      <c r="AB171" s="486" t="str">
        <f>AB169&amp;".2"</f>
        <v>4.2</v>
      </c>
      <c r="AC171" s="487" t="s">
        <v>988</v>
      </c>
      <c r="AD171" s="486" t="s">
        <v>986</v>
      </c>
      <c r="AE171" s="1680"/>
      <c r="AF171" s="1680"/>
      <c r="AG171" s="1680"/>
      <c r="AH171" s="1680"/>
      <c r="AI171" s="280"/>
      <c r="AJ171" s="1664"/>
      <c r="AK171" s="1664"/>
      <c r="AL171" s="1680"/>
      <c r="AM171" s="1680"/>
      <c r="AN171" s="1680"/>
      <c r="AO171" s="1680"/>
      <c r="AP171" s="1680"/>
      <c r="AQ171" s="1680"/>
      <c r="AR171" s="1680"/>
      <c r="AS171" s="280"/>
      <c r="AT171" s="1664"/>
      <c r="AU171" s="1664"/>
      <c r="AV171" s="1680"/>
      <c r="AW171" s="1680"/>
      <c r="AX171" s="1680"/>
      <c r="AY171" s="1680"/>
      <c r="AZ171" s="1680"/>
      <c r="BA171" s="1680"/>
      <c r="BB171" s="1680"/>
      <c r="BC171" s="1792"/>
      <c r="BD171" s="935"/>
      <c r="BE171" s="935"/>
      <c r="BF171" s="1171" t="s">
        <v>1054</v>
      </c>
    </row>
    <row s="1642" customFormat="1" customHeight="1" ht="14.25">
      <c r="A172" s="1498"/>
      <c r="B172" s="925"/>
      <c r="C172" s="1498"/>
      <c r="D172" s="1498"/>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98"/>
      <c r="V172" s="1498"/>
      <c r="W172" s="1498"/>
      <c r="X172" s="1498"/>
      <c r="Y172" s="1498"/>
      <c r="Z172" s="1498"/>
      <c r="AA172" s="935"/>
      <c r="AB172" s="486" t="str">
        <f>AB169&amp;".3"</f>
        <v>4.3</v>
      </c>
      <c r="AC172" s="487" t="s">
        <v>990</v>
      </c>
      <c r="AD172" s="486" t="s">
        <v>986</v>
      </c>
      <c r="AE172" s="1680"/>
      <c r="AF172" s="1680"/>
      <c r="AG172" s="1680"/>
      <c r="AH172" s="1680"/>
      <c r="AI172" s="280"/>
      <c r="AJ172" s="1664"/>
      <c r="AK172" s="1664"/>
      <c r="AL172" s="1680"/>
      <c r="AM172" s="1680"/>
      <c r="AN172" s="1680"/>
      <c r="AO172" s="1680"/>
      <c r="AP172" s="1680"/>
      <c r="AQ172" s="1680"/>
      <c r="AR172" s="1680"/>
      <c r="AS172" s="280"/>
      <c r="AT172" s="1664"/>
      <c r="AU172" s="1664"/>
      <c r="AV172" s="1680"/>
      <c r="AW172" s="1680"/>
      <c r="AX172" s="1680"/>
      <c r="AY172" s="1680"/>
      <c r="AZ172" s="1680"/>
      <c r="BA172" s="1680"/>
      <c r="BB172" s="1680"/>
      <c r="BC172" s="1792"/>
      <c r="BD172" s="935"/>
      <c r="BE172" s="935"/>
      <c r="BF172" s="1171" t="s">
        <v>1055</v>
      </c>
    </row>
    <row s="1642" customFormat="1" customHeight="1" ht="14.25">
      <c r="A173" s="1498"/>
      <c r="B173" s="925"/>
      <c r="C173" s="1498"/>
      <c r="D173" s="1498"/>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98"/>
      <c r="V173" s="1498"/>
      <c r="W173" s="1498"/>
      <c r="X173" s="1498"/>
      <c r="Y173" s="1498"/>
      <c r="Z173" s="1498"/>
      <c r="AA173" s="935"/>
      <c r="AB173" s="486" t="str">
        <f>AB169&amp;".4"</f>
        <v>4.4</v>
      </c>
      <c r="AC173" s="487" t="s">
        <v>992</v>
      </c>
      <c r="AD173" s="486" t="s">
        <v>986</v>
      </c>
      <c r="AE173" s="1793">
        <f>SUM(AE174:AE178)</f>
        <v>0</v>
      </c>
      <c r="AF173" s="1793">
        <f>SUM(AF174:AF178)</f>
        <v>0</v>
      </c>
      <c r="AG173" s="1793">
        <f>SUM(AG174:AG178)</f>
        <v>0</v>
      </c>
      <c r="AH173" s="1793">
        <f>SUM(AH174:AH178)</f>
        <v>0</v>
      </c>
      <c r="AI173" s="481">
        <f>SUM(AI174:AI178)</f>
        <v>0</v>
      </c>
      <c r="AJ173" s="1787">
        <f>SUM(AJ174:AJ178)</f>
        <v>0</v>
      </c>
      <c r="AK173" s="1787">
        <f>SUM(AK174:AK178)</f>
        <v>0</v>
      </c>
      <c r="AL173" s="1793">
        <f>SUM(AL174:AL178)</f>
        <v>0</v>
      </c>
      <c r="AM173" s="1793">
        <f>SUM(AM174:AM178)</f>
        <v>0</v>
      </c>
      <c r="AN173" s="1793">
        <f>SUM(AN174:AN178)</f>
        <v>0</v>
      </c>
      <c r="AO173" s="1793">
        <f>SUM(AO174:AO178)</f>
        <v>0</v>
      </c>
      <c r="AP173" s="1793">
        <f>SUM(AP174:AP178)</f>
        <v>0</v>
      </c>
      <c r="AQ173" s="1793">
        <f>SUM(AQ174:AQ178)</f>
        <v>0</v>
      </c>
      <c r="AR173" s="1793">
        <f>SUM(AR174:AR178)</f>
        <v>0</v>
      </c>
      <c r="AS173" s="481">
        <f>SUM(AS174:AS178)</f>
        <v>0</v>
      </c>
      <c r="AT173" s="1787">
        <f>SUM(AT174:AT178)</f>
        <v>0</v>
      </c>
      <c r="AU173" s="1787">
        <f>SUM(AU174:AU178)</f>
        <v>0</v>
      </c>
      <c r="AV173" s="1793">
        <f>SUM(AV174:AV178)</f>
        <v>0</v>
      </c>
      <c r="AW173" s="1793">
        <f>SUM(AW174:AW178)</f>
        <v>0</v>
      </c>
      <c r="AX173" s="1793">
        <f>SUM(AX174:AX178)</f>
        <v>0</v>
      </c>
      <c r="AY173" s="1793">
        <f>SUM(AY174:AY178)</f>
        <v>0</v>
      </c>
      <c r="AZ173" s="1793">
        <f>SUM(AZ174:AZ178)</f>
        <v>0</v>
      </c>
      <c r="BA173" s="1793">
        <f>SUM(BA174:BA178)</f>
        <v>0</v>
      </c>
      <c r="BB173" s="1793">
        <f>SUM(BB174:BB178)</f>
        <v>0</v>
      </c>
      <c r="BC173" s="1792"/>
      <c r="BD173" s="935"/>
      <c r="BE173" s="935"/>
      <c r="BF173" s="1171" t="s">
        <v>1056</v>
      </c>
    </row>
    <row s="1642" customFormat="1" customHeight="1" ht="14.25">
      <c r="A174" s="1498"/>
      <c r="B174" s="925"/>
      <c r="C174" s="1498"/>
      <c r="D174" s="1498"/>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98"/>
      <c r="V174" s="1498"/>
      <c r="W174" s="1498"/>
      <c r="X174" s="1498"/>
      <c r="Y174" s="1498"/>
      <c r="Z174" s="1498"/>
      <c r="AA174" s="935"/>
      <c r="AB174" s="486" t="str">
        <f>AB173&amp;".1"</f>
        <v>4.4.1</v>
      </c>
      <c r="AC174" s="488" t="s">
        <v>995</v>
      </c>
      <c r="AD174" s="486" t="s">
        <v>986</v>
      </c>
      <c r="AE174" s="1680"/>
      <c r="AF174" s="1680"/>
      <c r="AG174" s="1680"/>
      <c r="AH174" s="1680"/>
      <c r="AI174" s="280"/>
      <c r="AJ174" s="1664"/>
      <c r="AK174" s="1664"/>
      <c r="AL174" s="1680"/>
      <c r="AM174" s="1680"/>
      <c r="AN174" s="1680"/>
      <c r="AO174" s="1680"/>
      <c r="AP174" s="1680"/>
      <c r="AQ174" s="1680"/>
      <c r="AR174" s="1680"/>
      <c r="AS174" s="280"/>
      <c r="AT174" s="1664"/>
      <c r="AU174" s="1664"/>
      <c r="AV174" s="1680"/>
      <c r="AW174" s="1680"/>
      <c r="AX174" s="1680"/>
      <c r="AY174" s="1680"/>
      <c r="AZ174" s="1680"/>
      <c r="BA174" s="1680"/>
      <c r="BB174" s="1680"/>
      <c r="BC174" s="1792"/>
      <c r="BD174" s="935"/>
      <c r="BE174" s="935"/>
      <c r="BF174" s="1171" t="s">
        <v>1057</v>
      </c>
    </row>
    <row s="1642" customFormat="1" customHeight="1" ht="14.25">
      <c r="A175" s="1498"/>
      <c r="B175" s="925"/>
      <c r="C175" s="1498"/>
      <c r="D175" s="1498"/>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98"/>
      <c r="V175" s="1498"/>
      <c r="W175" s="1498"/>
      <c r="X175" s="1498"/>
      <c r="Y175" s="1498"/>
      <c r="Z175" s="1498"/>
      <c r="AA175" s="935"/>
      <c r="AB175" s="486" t="str">
        <f>AB173&amp;".2"</f>
        <v>4.4.2</v>
      </c>
      <c r="AC175" s="488" t="s">
        <v>998</v>
      </c>
      <c r="AD175" s="486" t="s">
        <v>986</v>
      </c>
      <c r="AE175" s="1680"/>
      <c r="AF175" s="1680"/>
      <c r="AG175" s="1680"/>
      <c r="AH175" s="1680"/>
      <c r="AI175" s="280"/>
      <c r="AJ175" s="1664"/>
      <c r="AK175" s="1664"/>
      <c r="AL175" s="1680"/>
      <c r="AM175" s="1680"/>
      <c r="AN175" s="1680"/>
      <c r="AO175" s="1680"/>
      <c r="AP175" s="1680"/>
      <c r="AQ175" s="1680"/>
      <c r="AR175" s="1680"/>
      <c r="AS175" s="280"/>
      <c r="AT175" s="1664"/>
      <c r="AU175" s="1664"/>
      <c r="AV175" s="1680"/>
      <c r="AW175" s="1680"/>
      <c r="AX175" s="1680"/>
      <c r="AY175" s="1680"/>
      <c r="AZ175" s="1680"/>
      <c r="BA175" s="1680"/>
      <c r="BB175" s="1680"/>
      <c r="BC175" s="1792"/>
      <c r="BD175" s="935"/>
      <c r="BE175" s="935"/>
      <c r="BF175" s="1171" t="s">
        <v>1058</v>
      </c>
    </row>
    <row s="1642" customFormat="1" customHeight="1" ht="14.25">
      <c r="A176" s="1498"/>
      <c r="B176" s="925"/>
      <c r="C176" s="1498"/>
      <c r="D176" s="1498"/>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98"/>
      <c r="V176" s="1498"/>
      <c r="W176" s="1498"/>
      <c r="X176" s="1498"/>
      <c r="Y176" s="1498"/>
      <c r="Z176" s="1498"/>
      <c r="AA176" s="935"/>
      <c r="AB176" s="486" t="str">
        <f>AB173&amp;".3"</f>
        <v>4.4.3</v>
      </c>
      <c r="AC176" s="488" t="s">
        <v>1001</v>
      </c>
      <c r="AD176" s="486" t="s">
        <v>986</v>
      </c>
      <c r="AE176" s="1680"/>
      <c r="AF176" s="1680"/>
      <c r="AG176" s="1680"/>
      <c r="AH176" s="1680"/>
      <c r="AI176" s="280"/>
      <c r="AJ176" s="1664"/>
      <c r="AK176" s="1664"/>
      <c r="AL176" s="1680"/>
      <c r="AM176" s="1680"/>
      <c r="AN176" s="1680"/>
      <c r="AO176" s="1680"/>
      <c r="AP176" s="1680"/>
      <c r="AQ176" s="1680"/>
      <c r="AR176" s="1680"/>
      <c r="AS176" s="280"/>
      <c r="AT176" s="1664"/>
      <c r="AU176" s="1664"/>
      <c r="AV176" s="1680"/>
      <c r="AW176" s="1680"/>
      <c r="AX176" s="1680"/>
      <c r="AY176" s="1680"/>
      <c r="AZ176" s="1680"/>
      <c r="BA176" s="1680"/>
      <c r="BB176" s="1680"/>
      <c r="BC176" s="1792"/>
      <c r="BD176" s="935"/>
      <c r="BE176" s="935"/>
      <c r="BF176" s="1171" t="s">
        <v>1059</v>
      </c>
    </row>
    <row s="1642" customFormat="1" customHeight="1" ht="14.25">
      <c r="A177" s="1498"/>
      <c r="B177" s="925"/>
      <c r="C177" s="1498"/>
      <c r="D177" s="1498"/>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98"/>
      <c r="V177" s="1498"/>
      <c r="W177" s="1498"/>
      <c r="X177" s="1498"/>
      <c r="Y177" s="1498"/>
      <c r="Z177" s="1498"/>
      <c r="AA177" s="935"/>
      <c r="AB177" s="486" t="str">
        <f>AB173&amp;".4"</f>
        <v>4.4.4</v>
      </c>
      <c r="AC177" s="488" t="s">
        <v>1004</v>
      </c>
      <c r="AD177" s="486" t="s">
        <v>986</v>
      </c>
      <c r="AE177" s="1680"/>
      <c r="AF177" s="1680"/>
      <c r="AG177" s="1680"/>
      <c r="AH177" s="1680"/>
      <c r="AI177" s="280"/>
      <c r="AJ177" s="1664"/>
      <c r="AK177" s="1664"/>
      <c r="AL177" s="1680"/>
      <c r="AM177" s="1680"/>
      <c r="AN177" s="1680"/>
      <c r="AO177" s="1680"/>
      <c r="AP177" s="1680"/>
      <c r="AQ177" s="1680"/>
      <c r="AR177" s="1680"/>
      <c r="AS177" s="280"/>
      <c r="AT177" s="1664"/>
      <c r="AU177" s="1664"/>
      <c r="AV177" s="1680"/>
      <c r="AW177" s="1680"/>
      <c r="AX177" s="1680"/>
      <c r="AY177" s="1680"/>
      <c r="AZ177" s="1680"/>
      <c r="BA177" s="1680"/>
      <c r="BB177" s="1680"/>
      <c r="BC177" s="1792"/>
      <c r="BD177" s="935"/>
      <c r="BE177" s="935"/>
      <c r="BF177" s="1171" t="s">
        <v>1060</v>
      </c>
    </row>
    <row s="1642" customFormat="1" customHeight="1" ht="14.25">
      <c r="A178" s="1498"/>
      <c r="B178" s="925"/>
      <c r="C178" s="1498"/>
      <c r="D178" s="1498"/>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98"/>
      <c r="V178" s="1498"/>
      <c r="W178" s="1498"/>
      <c r="X178" s="1498"/>
      <c r="Y178" s="1498"/>
      <c r="Z178" s="1498"/>
      <c r="AA178" s="935"/>
      <c r="AB178" s="486" t="str">
        <f>AB173&amp;".5"</f>
        <v>4.4.5</v>
      </c>
      <c r="AC178" s="488" t="s">
        <v>1007</v>
      </c>
      <c r="AD178" s="486" t="s">
        <v>986</v>
      </c>
      <c r="AE178" s="1680"/>
      <c r="AF178" s="1680"/>
      <c r="AG178" s="1680"/>
      <c r="AH178" s="1680"/>
      <c r="AI178" s="280"/>
      <c r="AJ178" s="1664"/>
      <c r="AK178" s="1664"/>
      <c r="AL178" s="1680"/>
      <c r="AM178" s="1680"/>
      <c r="AN178" s="1680"/>
      <c r="AO178" s="1680"/>
      <c r="AP178" s="1680"/>
      <c r="AQ178" s="1680"/>
      <c r="AR178" s="1680"/>
      <c r="AS178" s="280"/>
      <c r="AT178" s="1664"/>
      <c r="AU178" s="1664"/>
      <c r="AV178" s="1680"/>
      <c r="AW178" s="1680"/>
      <c r="AX178" s="1680"/>
      <c r="AY178" s="1680"/>
      <c r="AZ178" s="1680"/>
      <c r="BA178" s="1680"/>
      <c r="BB178" s="1680"/>
      <c r="BC178" s="1792"/>
      <c r="BD178" s="935"/>
      <c r="BE178" s="935"/>
      <c r="BF178" s="1171" t="s">
        <v>1061</v>
      </c>
    </row>
    <row s="1642" customFormat="1" customHeight="1" ht="14.25">
      <c r="A179" s="1498"/>
      <c r="B179" s="925"/>
      <c r="C179" s="1498"/>
      <c r="D179" s="1498"/>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98"/>
      <c r="V179" s="1498"/>
      <c r="W179" s="1498"/>
      <c r="X179" s="1498"/>
      <c r="Y179" s="1498"/>
      <c r="Z179" s="1498"/>
      <c r="AA179" s="935"/>
      <c r="AB179" s="486" t="str">
        <f>AB169&amp;".5"</f>
        <v>4.5</v>
      </c>
      <c r="AC179" s="487" t="s">
        <v>1010</v>
      </c>
      <c r="AD179" s="486" t="s">
        <v>986</v>
      </c>
      <c r="AE179" s="1680"/>
      <c r="AF179" s="1680"/>
      <c r="AG179" s="1680"/>
      <c r="AH179" s="1680"/>
      <c r="AI179" s="280"/>
      <c r="AJ179" s="1664"/>
      <c r="AK179" s="1664"/>
      <c r="AL179" s="1680"/>
      <c r="AM179" s="1680"/>
      <c r="AN179" s="1680"/>
      <c r="AO179" s="1680"/>
      <c r="AP179" s="1680"/>
      <c r="AQ179" s="1680"/>
      <c r="AR179" s="1680"/>
      <c r="AS179" s="280"/>
      <c r="AT179" s="1664"/>
      <c r="AU179" s="1664"/>
      <c r="AV179" s="1680"/>
      <c r="AW179" s="1680"/>
      <c r="AX179" s="1680"/>
      <c r="AY179" s="1680"/>
      <c r="AZ179" s="1680"/>
      <c r="BA179" s="1680"/>
      <c r="BB179" s="1680"/>
      <c r="BC179" s="1792"/>
      <c r="BD179" s="935"/>
      <c r="BE179" s="935"/>
      <c r="BF179" s="1171" t="s">
        <v>1062</v>
      </c>
    </row>
    <row s="1642" customFormat="1" customHeight="1" ht="14.25">
      <c r="A180" s="1498"/>
      <c r="B180" s="925"/>
      <c r="C180" s="1498"/>
      <c r="D180" s="1498"/>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98"/>
      <c r="V180" s="1498"/>
      <c r="W180" s="1498"/>
      <c r="X180" s="1498"/>
      <c r="Y180" s="1498"/>
      <c r="Z180" s="1498"/>
      <c r="AA180" s="935"/>
      <c r="AB180" s="486" t="str">
        <f>AB169&amp;".6"</f>
        <v>4.6</v>
      </c>
      <c r="AC180" s="487" t="s">
        <v>1013</v>
      </c>
      <c r="AD180" s="486" t="s">
        <v>986</v>
      </c>
      <c r="AE180" s="1680"/>
      <c r="AF180" s="1680"/>
      <c r="AG180" s="1680"/>
      <c r="AH180" s="1680"/>
      <c r="AI180" s="280"/>
      <c r="AJ180" s="1664"/>
      <c r="AK180" s="1664"/>
      <c r="AL180" s="1680"/>
      <c r="AM180" s="1680"/>
      <c r="AN180" s="1680"/>
      <c r="AO180" s="1680"/>
      <c r="AP180" s="1680"/>
      <c r="AQ180" s="1680"/>
      <c r="AR180" s="1680"/>
      <c r="AS180" s="280"/>
      <c r="AT180" s="1664"/>
      <c r="AU180" s="1664"/>
      <c r="AV180" s="1680"/>
      <c r="AW180" s="1680"/>
      <c r="AX180" s="1680"/>
      <c r="AY180" s="1680"/>
      <c r="AZ180" s="1680"/>
      <c r="BA180" s="1680"/>
      <c r="BB180" s="1680"/>
      <c r="BC180" s="1792"/>
      <c r="BD180" s="935"/>
      <c r="BE180" s="935"/>
      <c r="BF180" s="1171" t="s">
        <v>1063</v>
      </c>
    </row>
    <row s="1642" customFormat="1" customHeight="1" ht="14.25">
      <c r="A181" s="1498"/>
      <c r="B181" s="925"/>
      <c r="C181" s="1498"/>
      <c r="D181" s="1498"/>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98"/>
      <c r="V181" s="1498"/>
      <c r="W181" s="1498"/>
      <c r="X181" s="1498"/>
      <c r="Y181" s="1498"/>
      <c r="Z181" s="1498"/>
      <c r="AA181" s="935"/>
      <c r="AB181" s="486" t="str">
        <f>AB169&amp;".7"</f>
        <v>4.7</v>
      </c>
      <c r="AC181" s="487" t="s">
        <v>1016</v>
      </c>
      <c r="AD181" s="486" t="s">
        <v>986</v>
      </c>
      <c r="AE181" s="1680"/>
      <c r="AF181" s="1680"/>
      <c r="AG181" s="1680"/>
      <c r="AH181" s="1680"/>
      <c r="AI181" s="280"/>
      <c r="AJ181" s="1664"/>
      <c r="AK181" s="1664"/>
      <c r="AL181" s="1680"/>
      <c r="AM181" s="1680"/>
      <c r="AN181" s="1680"/>
      <c r="AO181" s="1680"/>
      <c r="AP181" s="1680"/>
      <c r="AQ181" s="1680"/>
      <c r="AR181" s="1680"/>
      <c r="AS181" s="280"/>
      <c r="AT181" s="1664"/>
      <c r="AU181" s="1664"/>
      <c r="AV181" s="1680"/>
      <c r="AW181" s="1680"/>
      <c r="AX181" s="1680"/>
      <c r="AY181" s="1680"/>
      <c r="AZ181" s="1680"/>
      <c r="BA181" s="1680"/>
      <c r="BB181" s="1680"/>
      <c r="BC181" s="1792"/>
      <c r="BD181" s="935"/>
      <c r="BE181" s="935"/>
      <c r="BF181" s="1171" t="s">
        <v>1064</v>
      </c>
    </row>
    <row s="1642" customFormat="1" customHeight="1" ht="14.25">
      <c r="A182" s="1498"/>
      <c r="B182" s="925"/>
      <c r="C182" s="1498"/>
      <c r="D182" s="1498"/>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98"/>
      <c r="V182" s="1498"/>
      <c r="W182" s="1498"/>
      <c r="X182" s="1498"/>
      <c r="Y182" s="1498"/>
      <c r="Z182" s="1498"/>
      <c r="AA182" s="935"/>
      <c r="AB182" s="486" t="str">
        <f>AB169&amp;".8"</f>
        <v>4.8</v>
      </c>
      <c r="AC182" s="487" t="s">
        <v>1019</v>
      </c>
      <c r="AD182" s="486" t="s">
        <v>986</v>
      </c>
      <c r="AE182" s="1680"/>
      <c r="AF182" s="1680"/>
      <c r="AG182" s="1680"/>
      <c r="AH182" s="1680"/>
      <c r="AI182" s="280"/>
      <c r="AJ182" s="1664"/>
      <c r="AK182" s="1664"/>
      <c r="AL182" s="1680"/>
      <c r="AM182" s="1680"/>
      <c r="AN182" s="1680"/>
      <c r="AO182" s="1680"/>
      <c r="AP182" s="1680"/>
      <c r="AQ182" s="1680"/>
      <c r="AR182" s="1680"/>
      <c r="AS182" s="280"/>
      <c r="AT182" s="1664"/>
      <c r="AU182" s="1664"/>
      <c r="AV182" s="1680"/>
      <c r="AW182" s="1680"/>
      <c r="AX182" s="1680"/>
      <c r="AY182" s="1680"/>
      <c r="AZ182" s="1680"/>
      <c r="BA182" s="1680"/>
      <c r="BB182" s="1680"/>
      <c r="BC182" s="1792"/>
      <c r="BD182" s="935"/>
      <c r="BE182" s="935"/>
      <c r="BF182" s="1171" t="s">
        <v>1065</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1066</v>
      </c>
      <c r="AD183" s="153" t="s">
        <v>799</v>
      </c>
      <c r="AE183" s="1863">
        <v>156615.611965</v>
      </c>
      <c r="AF183" s="1863">
        <v>448247.446195</v>
      </c>
      <c r="AG183" s="1863">
        <v>156615.611965</v>
      </c>
      <c r="AH183" s="1863">
        <v>156615.611965</v>
      </c>
      <c r="AI183" s="292">
        <v>156615.611965</v>
      </c>
      <c r="AJ183" s="1848">
        <f>SUM(AJ184:AJ187)+SUM(AJ193:AJ196)</f>
        <v>0</v>
      </c>
      <c r="AK183" s="1848">
        <f>SUM(AK184:AK187)+SUM(AK193:AK196)</f>
        <v>0</v>
      </c>
      <c r="AL183" s="1863">
        <f>SUM(AL184:AL187)+SUM(AL193:AL196)</f>
        <v>0</v>
      </c>
      <c r="AM183" s="1863">
        <f>SUM(AM184:AM187)+SUM(AM193:AM196)</f>
        <v>0</v>
      </c>
      <c r="AN183" s="1863">
        <f>SUM(AN184:AN187)+SUM(AN193:AN196)</f>
        <v>0</v>
      </c>
      <c r="AO183" s="1863">
        <f>SUM(AO184:AO187)+SUM(AO193:AO196)</f>
        <v>0</v>
      </c>
      <c r="AP183" s="1863">
        <f>SUM(AP184:AP187)+SUM(AP193:AP196)</f>
        <v>0</v>
      </c>
      <c r="AQ183" s="1863">
        <f>SUM(AQ184:AQ187)+SUM(AQ193:AQ196)</f>
        <v>0</v>
      </c>
      <c r="AR183" s="1863">
        <f>SUM(AR184:AR187)+SUM(AR193:AR196)</f>
        <v>0</v>
      </c>
      <c r="AS183" s="292">
        <v>156615.611965</v>
      </c>
      <c r="AT183" s="1848">
        <f>SUM(AT184:AT187)+SUM(AT193:AT196)</f>
        <v>0</v>
      </c>
      <c r="AU183" s="1848">
        <f>SUM(AU184:AU187)+SUM(AU193:AU196)</f>
        <v>0</v>
      </c>
      <c r="AV183" s="1863">
        <f>SUM(AV184:AV187)+SUM(AV193:AV196)</f>
        <v>0</v>
      </c>
      <c r="AW183" s="1863">
        <f>SUM(AW184:AW187)+SUM(AW193:AW196)</f>
        <v>0</v>
      </c>
      <c r="AX183" s="1863">
        <f>SUM(AX184:AX187)+SUM(AX193:AX196)</f>
        <v>0</v>
      </c>
      <c r="AY183" s="1863">
        <f>SUM(AY184:AY187)+SUM(AY193:AY196)</f>
        <v>0</v>
      </c>
      <c r="AZ183" s="1863">
        <f>SUM(AZ184:AZ187)+SUM(AZ193:AZ196)</f>
        <v>0</v>
      </c>
      <c r="BA183" s="1863">
        <f>SUM(BA184:BA187)+SUM(BA193:BA196)</f>
        <v>0</v>
      </c>
      <c r="BB183" s="1863">
        <f>SUM(BB184:BB187)+SUM(BB193:BB196)</f>
        <v>0</v>
      </c>
      <c r="BC183" s="1792"/>
      <c r="BD183" s="214"/>
      <c r="BE183" s="214"/>
      <c r="BF183" s="1171" t="s">
        <v>1067</v>
      </c>
    </row>
    <row s="1642" customFormat="1" customHeight="1" ht="14.25">
      <c r="A184" s="1498"/>
      <c r="B184" s="925"/>
      <c r="C184" s="1498"/>
      <c r="D184" s="1498"/>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98"/>
      <c r="V184" s="1498"/>
      <c r="W184" s="1498"/>
      <c r="X184" s="1498"/>
      <c r="Y184" s="1498"/>
      <c r="Z184" s="1498"/>
      <c r="AA184" s="935"/>
      <c r="AB184" s="477" t="str">
        <f>AB183&amp;".1"</f>
        <v>5.1</v>
      </c>
      <c r="AC184" s="469" t="s">
        <v>985</v>
      </c>
      <c r="AD184" s="477" t="s">
        <v>986</v>
      </c>
      <c r="AE184" s="1793">
        <f>(AE128*2+AE142+AE156-AE170)/2</f>
        <v>0</v>
      </c>
      <c r="AF184" s="1793">
        <f>(AF128*2+AF142+AF156-AF170)/2</f>
        <v>0</v>
      </c>
      <c r="AG184" s="1793">
        <f>(AG128*2+AG142+AG156-AG170)/2</f>
        <v>0</v>
      </c>
      <c r="AH184" s="1793">
        <f>(AH128*2+AH142+AH156-AH170)/2</f>
        <v>0</v>
      </c>
      <c r="AI184" s="481">
        <f>(AI128*2+AI142+AI156-AI170)/2</f>
        <v>0</v>
      </c>
      <c r="AJ184" s="1787">
        <f>(AJ128*2+AJ142+AJ156-AJ170)/2</f>
        <v>0</v>
      </c>
      <c r="AK184" s="1787">
        <f>(AK128*2+AK142+AK156-AK170)/2</f>
        <v>0</v>
      </c>
      <c r="AL184" s="1793">
        <f>(AL128*2+AL142+AL156-AL170)/2</f>
        <v>0</v>
      </c>
      <c r="AM184" s="1793">
        <f>(AM128*2+AM142+AM156-AM170)/2</f>
        <v>0</v>
      </c>
      <c r="AN184" s="1793">
        <f>(AN128*2+AN142+AN156-AN170)/2</f>
        <v>0</v>
      </c>
      <c r="AO184" s="1793">
        <f>(AO128*2+AO142+AO156-AO170)/2</f>
        <v>0</v>
      </c>
      <c r="AP184" s="1793">
        <f>(AP128*2+AP142+AP156-AP170)/2</f>
        <v>0</v>
      </c>
      <c r="AQ184" s="1793">
        <f>(AQ128*2+AQ142+AQ156-AQ170)/2</f>
        <v>0</v>
      </c>
      <c r="AR184" s="1793">
        <f>(AR128*2+AR142+AR156-AR170)/2</f>
        <v>0</v>
      </c>
      <c r="AS184" s="481">
        <f>(AS128*2+AS142+AS156-AS170)/2</f>
        <v>0</v>
      </c>
      <c r="AT184" s="1787">
        <f>(AT128*2+AT142+AT156-AT170)/2</f>
        <v>0</v>
      </c>
      <c r="AU184" s="1787">
        <f>(AU128*2+AU142+AU156-AU170)/2</f>
        <v>0</v>
      </c>
      <c r="AV184" s="1793">
        <f>(AV128*2+AV142+AV156-AV170)/2</f>
        <v>0</v>
      </c>
      <c r="AW184" s="1793">
        <f>(AW128*2+AW142+AW156-AW170)/2</f>
        <v>0</v>
      </c>
      <c r="AX184" s="1793">
        <f>(AX128*2+AX142+AX156-AX170)/2</f>
        <v>0</v>
      </c>
      <c r="AY184" s="1793">
        <f>(AY128*2+AY142+AY156-AY170)/2</f>
        <v>0</v>
      </c>
      <c r="AZ184" s="1793">
        <f>(AZ128*2+AZ142+AZ156-AZ170)/2</f>
        <v>0</v>
      </c>
      <c r="BA184" s="1793">
        <f>(BA128*2+BA142+BA156-BA170)/2</f>
        <v>0</v>
      </c>
      <c r="BB184" s="1793">
        <f>(BB128*2+BB142+BB156-BB170)/2</f>
        <v>0</v>
      </c>
      <c r="BC184" s="1883"/>
      <c r="BD184" s="935"/>
      <c r="BE184" s="935"/>
      <c r="BF184" s="1171" t="s">
        <v>1068</v>
      </c>
    </row>
    <row s="1642" customFormat="1" customHeight="1" ht="14.25">
      <c r="A185" s="1498"/>
      <c r="B185" s="925"/>
      <c r="C185" s="1498"/>
      <c r="D185" s="1498"/>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98"/>
      <c r="V185" s="1498"/>
      <c r="W185" s="1498"/>
      <c r="X185" s="1498"/>
      <c r="Y185" s="1498"/>
      <c r="Z185" s="1498"/>
      <c r="AA185" s="935"/>
      <c r="AB185" s="477" t="str">
        <f>AB183&amp;".2"</f>
        <v>5.2</v>
      </c>
      <c r="AC185" s="469" t="s">
        <v>988</v>
      </c>
      <c r="AD185" s="477" t="s">
        <v>986</v>
      </c>
      <c r="AE185" s="1793">
        <v>59396.27769</v>
      </c>
      <c r="AF185" s="1793">
        <f>(AF129*2+AF143+AF157-AF171)/2</f>
        <v>0</v>
      </c>
      <c r="AG185" s="1793">
        <v>59396.27769</v>
      </c>
      <c r="AH185" s="1793">
        <v>59396.27769</v>
      </c>
      <c r="AI185" s="481">
        <v>59396.27769</v>
      </c>
      <c r="AJ185" s="1787">
        <f>(AJ129*2+AJ143+AJ157-AJ171)/2</f>
        <v>0</v>
      </c>
      <c r="AK185" s="1787">
        <f>(AK129*2+AK143+AK157-AK171)/2</f>
        <v>0</v>
      </c>
      <c r="AL185" s="1793">
        <f>(AL129*2+AL143+AL157-AL171)/2</f>
        <v>0</v>
      </c>
      <c r="AM185" s="1793">
        <f>(AM129*2+AM143+AM157-AM171)/2</f>
        <v>0</v>
      </c>
      <c r="AN185" s="1793">
        <f>(AN129*2+AN143+AN157-AN171)/2</f>
        <v>0</v>
      </c>
      <c r="AO185" s="1793">
        <f>(AO129*2+AO143+AO157-AO171)/2</f>
        <v>0</v>
      </c>
      <c r="AP185" s="1793">
        <f>(AP129*2+AP143+AP157-AP171)/2</f>
        <v>0</v>
      </c>
      <c r="AQ185" s="1793">
        <f>(AQ129*2+AQ143+AQ157-AQ171)/2</f>
        <v>0</v>
      </c>
      <c r="AR185" s="1793">
        <f>(AR129*2+AR143+AR157-AR171)/2</f>
        <v>0</v>
      </c>
      <c r="AS185" s="481">
        <v>59396.27769</v>
      </c>
      <c r="AT185" s="1787">
        <f>(AT129*2+AT143+AT157-AT171)/2</f>
        <v>0</v>
      </c>
      <c r="AU185" s="1787">
        <f>(AU129*2+AU143+AU157-AU171)/2</f>
        <v>0</v>
      </c>
      <c r="AV185" s="1793">
        <f>(AV129*2+AV143+AV157-AV171)/2</f>
        <v>0</v>
      </c>
      <c r="AW185" s="1793">
        <f>(AW129*2+AW143+AW157-AW171)/2</f>
        <v>0</v>
      </c>
      <c r="AX185" s="1793">
        <f>(AX129*2+AX143+AX157-AX171)/2</f>
        <v>0</v>
      </c>
      <c r="AY185" s="1793">
        <f>(AY129*2+AY143+AY157-AY171)/2</f>
        <v>0</v>
      </c>
      <c r="AZ185" s="1793">
        <f>(AZ129*2+AZ143+AZ157-AZ171)/2</f>
        <v>0</v>
      </c>
      <c r="BA185" s="1793">
        <f>(BA129*2+BA143+BA157-BA171)/2</f>
        <v>0</v>
      </c>
      <c r="BB185" s="1793">
        <f>(BB129*2+BB143+BB157-BB171)/2</f>
        <v>0</v>
      </c>
      <c r="BC185" s="1883"/>
      <c r="BD185" s="935"/>
      <c r="BE185" s="935"/>
      <c r="BF185" s="1171" t="s">
        <v>1069</v>
      </c>
    </row>
    <row s="1642" customFormat="1" customHeight="1" ht="14.25">
      <c r="A186" s="1498"/>
      <c r="B186" s="925"/>
      <c r="C186" s="1498"/>
      <c r="D186" s="1498"/>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98"/>
      <c r="V186" s="1498"/>
      <c r="W186" s="1498"/>
      <c r="X186" s="1498"/>
      <c r="Y186" s="1498"/>
      <c r="Z186" s="1498"/>
      <c r="AA186" s="935"/>
      <c r="AB186" s="477" t="str">
        <f>AB183&amp;".3"</f>
        <v>5.3</v>
      </c>
      <c r="AC186" s="469" t="s">
        <v>990</v>
      </c>
      <c r="AD186" s="477" t="s">
        <v>986</v>
      </c>
      <c r="AE186" s="1793">
        <f>(AE130*2+AE144+AE158-AE172)/2</f>
        <v>0</v>
      </c>
      <c r="AF186" s="1793">
        <f>(AF130*2+AF144+AF158-AF172)/2</f>
        <v>0</v>
      </c>
      <c r="AG186" s="1793">
        <f>(AG130*2+AG144+AG158-AG172)/2</f>
        <v>0</v>
      </c>
      <c r="AH186" s="1793">
        <f>(AH130*2+AH144+AH158-AH172)/2</f>
        <v>0</v>
      </c>
      <c r="AI186" s="481">
        <f>(AI130*2+AI144+AI158-AI172)/2</f>
        <v>0</v>
      </c>
      <c r="AJ186" s="1787">
        <f>(AJ130*2+AJ144+AJ158-AJ172)/2</f>
        <v>0</v>
      </c>
      <c r="AK186" s="1787">
        <f>(AK130*2+AK144+AK158-AK172)/2</f>
        <v>0</v>
      </c>
      <c r="AL186" s="1793">
        <f>(AL130*2+AL144+AL158-AL172)/2</f>
        <v>0</v>
      </c>
      <c r="AM186" s="1793">
        <f>(AM130*2+AM144+AM158-AM172)/2</f>
        <v>0</v>
      </c>
      <c r="AN186" s="1793">
        <f>(AN130*2+AN144+AN158-AN172)/2</f>
        <v>0</v>
      </c>
      <c r="AO186" s="1793">
        <f>(AO130*2+AO144+AO158-AO172)/2</f>
        <v>0</v>
      </c>
      <c r="AP186" s="1793">
        <f>(AP130*2+AP144+AP158-AP172)/2</f>
        <v>0</v>
      </c>
      <c r="AQ186" s="1793">
        <f>(AQ130*2+AQ144+AQ158-AQ172)/2</f>
        <v>0</v>
      </c>
      <c r="AR186" s="1793">
        <f>(AR130*2+AR144+AR158-AR172)/2</f>
        <v>0</v>
      </c>
      <c r="AS186" s="481">
        <f>(AS130*2+AS144+AS158-AS172)/2</f>
        <v>0</v>
      </c>
      <c r="AT186" s="1787">
        <f>(AT130*2+AT144+AT158-AT172)/2</f>
        <v>0</v>
      </c>
      <c r="AU186" s="1787">
        <f>(AU130*2+AU144+AU158-AU172)/2</f>
        <v>0</v>
      </c>
      <c r="AV186" s="1793">
        <f>(AV130*2+AV144+AV158-AV172)/2</f>
        <v>0</v>
      </c>
      <c r="AW186" s="1793">
        <f>(AW130*2+AW144+AW158-AW172)/2</f>
        <v>0</v>
      </c>
      <c r="AX186" s="1793">
        <f>(AX130*2+AX144+AX158-AX172)/2</f>
        <v>0</v>
      </c>
      <c r="AY186" s="1793">
        <f>(AY130*2+AY144+AY158-AY172)/2</f>
        <v>0</v>
      </c>
      <c r="AZ186" s="1793">
        <f>(AZ130*2+AZ144+AZ158-AZ172)/2</f>
        <v>0</v>
      </c>
      <c r="BA186" s="1793">
        <f>(BA130*2+BA144+BA158-BA172)/2</f>
        <v>0</v>
      </c>
      <c r="BB186" s="1793">
        <f>(BB130*2+BB144+BB158-BB172)/2</f>
        <v>0</v>
      </c>
      <c r="BC186" s="1883"/>
      <c r="BD186" s="935"/>
      <c r="BE186" s="935"/>
      <c r="BF186" s="1171" t="s">
        <v>1070</v>
      </c>
    </row>
    <row s="1642" customFormat="1" customHeight="1" ht="14.25">
      <c r="A187" s="1498"/>
      <c r="B187" s="925"/>
      <c r="C187" s="1498"/>
      <c r="D187" s="1498"/>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98"/>
      <c r="V187" s="1498"/>
      <c r="W187" s="1498"/>
      <c r="X187" s="1498"/>
      <c r="Y187" s="1498"/>
      <c r="Z187" s="1498"/>
      <c r="AA187" s="935"/>
      <c r="AB187" s="477" t="str">
        <f>AB183&amp;".4"</f>
        <v>5.4</v>
      </c>
      <c r="AC187" s="469" t="s">
        <v>992</v>
      </c>
      <c r="AD187" s="477" t="s">
        <v>986</v>
      </c>
      <c r="AE187" s="1793">
        <f>SUM(AE188:AE192)</f>
        <v>0</v>
      </c>
      <c r="AF187" s="1793">
        <v>351028.11192</v>
      </c>
      <c r="AG187" s="1793">
        <f>SUM(AG188:AG192)</f>
        <v>0</v>
      </c>
      <c r="AH187" s="1793">
        <f>SUM(AH188:AH192)</f>
        <v>0</v>
      </c>
      <c r="AI187" s="481">
        <f>SUM(AI188:AI192)</f>
        <v>0</v>
      </c>
      <c r="AJ187" s="1787">
        <f>SUM(AJ188:AJ192)</f>
        <v>0</v>
      </c>
      <c r="AK187" s="1787">
        <f>SUM(AK188:AK192)</f>
        <v>0</v>
      </c>
      <c r="AL187" s="1793">
        <f>SUM(AL188:AL192)</f>
        <v>0</v>
      </c>
      <c r="AM187" s="1793">
        <f>SUM(AM188:AM192)</f>
        <v>0</v>
      </c>
      <c r="AN187" s="1793">
        <f>SUM(AN188:AN192)</f>
        <v>0</v>
      </c>
      <c r="AO187" s="1793">
        <f>SUM(AO188:AO192)</f>
        <v>0</v>
      </c>
      <c r="AP187" s="1793">
        <f>SUM(AP188:AP192)</f>
        <v>0</v>
      </c>
      <c r="AQ187" s="1793">
        <f>SUM(AQ188:AQ192)</f>
        <v>0</v>
      </c>
      <c r="AR187" s="1793">
        <f>SUM(AR188:AR192)</f>
        <v>0</v>
      </c>
      <c r="AS187" s="481">
        <f>SUM(AS188:AS192)</f>
        <v>0</v>
      </c>
      <c r="AT187" s="1787">
        <f>SUM(AT188:AT192)</f>
        <v>0</v>
      </c>
      <c r="AU187" s="1787">
        <f>SUM(AU188:AU192)</f>
        <v>0</v>
      </c>
      <c r="AV187" s="1793">
        <f>SUM(AV188:AV192)</f>
        <v>0</v>
      </c>
      <c r="AW187" s="1793">
        <f>SUM(AW188:AW192)</f>
        <v>0</v>
      </c>
      <c r="AX187" s="1793">
        <f>SUM(AX188:AX192)</f>
        <v>0</v>
      </c>
      <c r="AY187" s="1793">
        <f>SUM(AY188:AY192)</f>
        <v>0</v>
      </c>
      <c r="AZ187" s="1793">
        <f>SUM(AZ188:AZ192)</f>
        <v>0</v>
      </c>
      <c r="BA187" s="1793">
        <f>SUM(BA188:BA192)</f>
        <v>0</v>
      </c>
      <c r="BB187" s="1793">
        <f>SUM(BB188:BB192)</f>
        <v>0</v>
      </c>
      <c r="BC187" s="1883"/>
      <c r="BD187" s="935"/>
      <c r="BE187" s="935"/>
      <c r="BF187" s="1171" t="s">
        <v>1071</v>
      </c>
    </row>
    <row s="1642" customFormat="1" customHeight="1" ht="14.25">
      <c r="A188" s="1498"/>
      <c r="B188" s="925"/>
      <c r="C188" s="1498"/>
      <c r="D188" s="1498"/>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98"/>
      <c r="V188" s="1498"/>
      <c r="W188" s="1498"/>
      <c r="X188" s="1498"/>
      <c r="Y188" s="1498"/>
      <c r="Z188" s="1498"/>
      <c r="AA188" s="935"/>
      <c r="AB188" s="477" t="str">
        <f>AB187&amp;".1"</f>
        <v>5.4.1</v>
      </c>
      <c r="AC188" s="527" t="s">
        <v>995</v>
      </c>
      <c r="AD188" s="477" t="s">
        <v>986</v>
      </c>
      <c r="AE188" s="1793">
        <f>(AE132*2+AE146+AE160-AE174)/2</f>
        <v>0</v>
      </c>
      <c r="AF188" s="1793">
        <f>(AF132*2+AF146+AF160-AF174)/2</f>
        <v>0</v>
      </c>
      <c r="AG188" s="1793">
        <f>(AG132*2+AG146+AG160-AG174)/2</f>
        <v>0</v>
      </c>
      <c r="AH188" s="1793">
        <f>(AH132*2+AH146+AH160-AH174)/2</f>
        <v>0</v>
      </c>
      <c r="AI188" s="481">
        <f>(AI132*2+AI146+AI160-AI174)/2</f>
        <v>0</v>
      </c>
      <c r="AJ188" s="1787">
        <f>(AJ132*2+AJ146+AJ160-AJ174)/2</f>
        <v>0</v>
      </c>
      <c r="AK188" s="1787">
        <f>(AK132*2+AK146+AK160-AK174)/2</f>
        <v>0</v>
      </c>
      <c r="AL188" s="1793">
        <f>(AL132*2+AL146+AL160-AL174)/2</f>
        <v>0</v>
      </c>
      <c r="AM188" s="1793">
        <f>(AM132*2+AM146+AM160-AM174)/2</f>
        <v>0</v>
      </c>
      <c r="AN188" s="1793">
        <f>(AN132*2+AN146+AN160-AN174)/2</f>
        <v>0</v>
      </c>
      <c r="AO188" s="1793">
        <f>(AO132*2+AO146+AO160-AO174)/2</f>
        <v>0</v>
      </c>
      <c r="AP188" s="1793">
        <f>(AP132*2+AP146+AP160-AP174)/2</f>
        <v>0</v>
      </c>
      <c r="AQ188" s="1793">
        <f>(AQ132*2+AQ146+AQ160-AQ174)/2</f>
        <v>0</v>
      </c>
      <c r="AR188" s="1793">
        <f>(AR132*2+AR146+AR160-AR174)/2</f>
        <v>0</v>
      </c>
      <c r="AS188" s="481">
        <f>(AS132*2+AS146+AS160-AS174)/2</f>
        <v>0</v>
      </c>
      <c r="AT188" s="1787">
        <f>(AT132*2+AT146+AT160-AT174)/2</f>
        <v>0</v>
      </c>
      <c r="AU188" s="1787">
        <f>(AU132*2+AU146+AU160-AU174)/2</f>
        <v>0</v>
      </c>
      <c r="AV188" s="1793">
        <f>(AV132*2+AV146+AV160-AV174)/2</f>
        <v>0</v>
      </c>
      <c r="AW188" s="1793">
        <f>(AW132*2+AW146+AW160-AW174)/2</f>
        <v>0</v>
      </c>
      <c r="AX188" s="1793">
        <f>(AX132*2+AX146+AX160-AX174)/2</f>
        <v>0</v>
      </c>
      <c r="AY188" s="1793">
        <f>(AY132*2+AY146+AY160-AY174)/2</f>
        <v>0</v>
      </c>
      <c r="AZ188" s="1793">
        <f>(AZ132*2+AZ146+AZ160-AZ174)/2</f>
        <v>0</v>
      </c>
      <c r="BA188" s="1793">
        <f>(BA132*2+BA146+BA160-BA174)/2</f>
        <v>0</v>
      </c>
      <c r="BB188" s="1793">
        <f>(BB132*2+BB146+BB160-BB174)/2</f>
        <v>0</v>
      </c>
      <c r="BC188" s="1883"/>
      <c r="BD188" s="935"/>
      <c r="BE188" s="935"/>
      <c r="BF188" s="1171" t="s">
        <v>1072</v>
      </c>
    </row>
    <row s="1642" customFormat="1" customHeight="1" ht="14.25">
      <c r="A189" s="1498"/>
      <c r="B189" s="925"/>
      <c r="C189" s="1498"/>
      <c r="D189" s="1498"/>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98"/>
      <c r="V189" s="1498"/>
      <c r="W189" s="1498"/>
      <c r="X189" s="1498"/>
      <c r="Y189" s="1498"/>
      <c r="Z189" s="1498"/>
      <c r="AA189" s="935"/>
      <c r="AB189" s="477" t="str">
        <f>AB187&amp;".2"</f>
        <v>5.4.2</v>
      </c>
      <c r="AC189" s="527" t="s">
        <v>998</v>
      </c>
      <c r="AD189" s="477" t="s">
        <v>986</v>
      </c>
      <c r="AE189" s="1793">
        <f>(AE133*2+AE147+AE161-AE175)/2</f>
        <v>0</v>
      </c>
      <c r="AF189" s="1793">
        <v>344946.853725</v>
      </c>
      <c r="AG189" s="1793">
        <f>(AG133*2+AG147+AG161-AG175)/2</f>
        <v>0</v>
      </c>
      <c r="AH189" s="1793">
        <f>(AH133*2+AH147+AH161-AH175)/2</f>
        <v>0</v>
      </c>
      <c r="AI189" s="481">
        <f>(AI133*2+AI147+AI161-AI175)/2</f>
        <v>0</v>
      </c>
      <c r="AJ189" s="1787">
        <f>(AJ133*2+AJ147+AJ161-AJ175)/2</f>
        <v>0</v>
      </c>
      <c r="AK189" s="1787">
        <f>(AK133*2+AK147+AK161-AK175)/2</f>
        <v>0</v>
      </c>
      <c r="AL189" s="1793">
        <f>(AL133*2+AL147+AL161-AL175)/2</f>
        <v>0</v>
      </c>
      <c r="AM189" s="1793">
        <f>(AM133*2+AM147+AM161-AM175)/2</f>
        <v>0</v>
      </c>
      <c r="AN189" s="1793">
        <f>(AN133*2+AN147+AN161-AN175)/2</f>
        <v>0</v>
      </c>
      <c r="AO189" s="1793">
        <f>(AO133*2+AO147+AO161-AO175)/2</f>
        <v>0</v>
      </c>
      <c r="AP189" s="1793">
        <f>(AP133*2+AP147+AP161-AP175)/2</f>
        <v>0</v>
      </c>
      <c r="AQ189" s="1793">
        <f>(AQ133*2+AQ147+AQ161-AQ175)/2</f>
        <v>0</v>
      </c>
      <c r="AR189" s="1793">
        <f>(AR133*2+AR147+AR161-AR175)/2</f>
        <v>0</v>
      </c>
      <c r="AS189" s="481">
        <f>(AS133*2+AS147+AS161-AS175)/2</f>
        <v>0</v>
      </c>
      <c r="AT189" s="1787">
        <f>(AT133*2+AT147+AT161-AT175)/2</f>
        <v>0</v>
      </c>
      <c r="AU189" s="1787">
        <f>(AU133*2+AU147+AU161-AU175)/2</f>
        <v>0</v>
      </c>
      <c r="AV189" s="1793">
        <f>(AV133*2+AV147+AV161-AV175)/2</f>
        <v>0</v>
      </c>
      <c r="AW189" s="1793">
        <f>(AW133*2+AW147+AW161-AW175)/2</f>
        <v>0</v>
      </c>
      <c r="AX189" s="1793">
        <f>(AX133*2+AX147+AX161-AX175)/2</f>
        <v>0</v>
      </c>
      <c r="AY189" s="1793">
        <f>(AY133*2+AY147+AY161-AY175)/2</f>
        <v>0</v>
      </c>
      <c r="AZ189" s="1793">
        <f>(AZ133*2+AZ147+AZ161-AZ175)/2</f>
        <v>0</v>
      </c>
      <c r="BA189" s="1793">
        <f>(BA133*2+BA147+BA161-BA175)/2</f>
        <v>0</v>
      </c>
      <c r="BB189" s="1793">
        <f>(BB133*2+BB147+BB161-BB175)/2</f>
        <v>0</v>
      </c>
      <c r="BC189" s="1883"/>
      <c r="BD189" s="935"/>
      <c r="BE189" s="935"/>
      <c r="BF189" s="1171" t="s">
        <v>1073</v>
      </c>
    </row>
    <row s="1642" customFormat="1" customHeight="1" ht="14.25">
      <c r="A190" s="1498"/>
      <c r="B190" s="925"/>
      <c r="C190" s="1498"/>
      <c r="D190" s="1498"/>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98"/>
      <c r="V190" s="1498"/>
      <c r="W190" s="1498"/>
      <c r="X190" s="1498"/>
      <c r="Y190" s="1498"/>
      <c r="Z190" s="1498"/>
      <c r="AA190" s="935"/>
      <c r="AB190" s="477" t="str">
        <f>AB187&amp;".3"</f>
        <v>5.4.3</v>
      </c>
      <c r="AC190" s="527" t="s">
        <v>1001</v>
      </c>
      <c r="AD190" s="477" t="s">
        <v>986</v>
      </c>
      <c r="AE190" s="1793">
        <f>(AE134*2+AE148+AE162-AE176)/2</f>
        <v>0</v>
      </c>
      <c r="AF190" s="1793">
        <f>(AF134*2+AF148+AF162-AF176)/2</f>
        <v>0</v>
      </c>
      <c r="AG190" s="1793">
        <f>(AG134*2+AG148+AG162-AG176)/2</f>
        <v>0</v>
      </c>
      <c r="AH190" s="1793">
        <f>(AH134*2+AH148+AH162-AH176)/2</f>
        <v>0</v>
      </c>
      <c r="AI190" s="481">
        <f>(AI134*2+AI148+AI162-AI176)/2</f>
        <v>0</v>
      </c>
      <c r="AJ190" s="1787">
        <f>(AJ134*2+AJ148+AJ162-AJ176)/2</f>
        <v>0</v>
      </c>
      <c r="AK190" s="1787">
        <f>(AK134*2+AK148+AK162-AK176)/2</f>
        <v>0</v>
      </c>
      <c r="AL190" s="1793">
        <f>(AL134*2+AL148+AL162-AL176)/2</f>
        <v>0</v>
      </c>
      <c r="AM190" s="1793">
        <f>(AM134*2+AM148+AM162-AM176)/2</f>
        <v>0</v>
      </c>
      <c r="AN190" s="1793">
        <f>(AN134*2+AN148+AN162-AN176)/2</f>
        <v>0</v>
      </c>
      <c r="AO190" s="1793">
        <f>(AO134*2+AO148+AO162-AO176)/2</f>
        <v>0</v>
      </c>
      <c r="AP190" s="1793">
        <f>(AP134*2+AP148+AP162-AP176)/2</f>
        <v>0</v>
      </c>
      <c r="AQ190" s="1793">
        <f>(AQ134*2+AQ148+AQ162-AQ176)/2</f>
        <v>0</v>
      </c>
      <c r="AR190" s="1793">
        <f>(AR134*2+AR148+AR162-AR176)/2</f>
        <v>0</v>
      </c>
      <c r="AS190" s="481">
        <f>(AS134*2+AS148+AS162-AS176)/2</f>
        <v>0</v>
      </c>
      <c r="AT190" s="1787">
        <f>(AT134*2+AT148+AT162-AT176)/2</f>
        <v>0</v>
      </c>
      <c r="AU190" s="1787">
        <f>(AU134*2+AU148+AU162-AU176)/2</f>
        <v>0</v>
      </c>
      <c r="AV190" s="1793">
        <f>(AV134*2+AV148+AV162-AV176)/2</f>
        <v>0</v>
      </c>
      <c r="AW190" s="1793">
        <f>(AW134*2+AW148+AW162-AW176)/2</f>
        <v>0</v>
      </c>
      <c r="AX190" s="1793">
        <f>(AX134*2+AX148+AX162-AX176)/2</f>
        <v>0</v>
      </c>
      <c r="AY190" s="1793">
        <f>(AY134*2+AY148+AY162-AY176)/2</f>
        <v>0</v>
      </c>
      <c r="AZ190" s="1793">
        <f>(AZ134*2+AZ148+AZ162-AZ176)/2</f>
        <v>0</v>
      </c>
      <c r="BA190" s="1793">
        <f>(BA134*2+BA148+BA162-BA176)/2</f>
        <v>0</v>
      </c>
      <c r="BB190" s="1793">
        <f>(BB134*2+BB148+BB162-BB176)/2</f>
        <v>0</v>
      </c>
      <c r="BC190" s="1883"/>
      <c r="BD190" s="935"/>
      <c r="BE190" s="935"/>
      <c r="BF190" s="1171" t="s">
        <v>1074</v>
      </c>
    </row>
    <row s="1642" customFormat="1" customHeight="1" ht="14.25">
      <c r="A191" s="1498"/>
      <c r="B191" s="925"/>
      <c r="C191" s="1498"/>
      <c r="D191" s="1498"/>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98"/>
      <c r="V191" s="1498"/>
      <c r="W191" s="1498"/>
      <c r="X191" s="1498"/>
      <c r="Y191" s="1498"/>
      <c r="Z191" s="1498"/>
      <c r="AA191" s="935"/>
      <c r="AB191" s="477" t="str">
        <f>AB187&amp;".4"</f>
        <v>5.4.4</v>
      </c>
      <c r="AC191" s="527" t="s">
        <v>1004</v>
      </c>
      <c r="AD191" s="477" t="s">
        <v>986</v>
      </c>
      <c r="AE191" s="1793">
        <f>(AE135*2+AE149+AE163-AE177)/2</f>
        <v>0</v>
      </c>
      <c r="AF191" s="1793">
        <f>(AF135*2+AF149+AF163-AF177)/2</f>
        <v>0</v>
      </c>
      <c r="AG191" s="1793">
        <f>(AG135*2+AG149+AG163-AG177)/2</f>
        <v>0</v>
      </c>
      <c r="AH191" s="1793">
        <f>(AH135*2+AH149+AH163-AH177)/2</f>
        <v>0</v>
      </c>
      <c r="AI191" s="481">
        <f>(AI135*2+AI149+AI163-AI177)/2</f>
        <v>0</v>
      </c>
      <c r="AJ191" s="1787">
        <f>(AJ135*2+AJ149+AJ163-AJ177)/2</f>
        <v>0</v>
      </c>
      <c r="AK191" s="1787">
        <f>(AK135*2+AK149+AK163-AK177)/2</f>
        <v>0</v>
      </c>
      <c r="AL191" s="1793">
        <f>(AL135*2+AL149+AL163-AL177)/2</f>
        <v>0</v>
      </c>
      <c r="AM191" s="1793">
        <f>(AM135*2+AM149+AM163-AM177)/2</f>
        <v>0</v>
      </c>
      <c r="AN191" s="1793">
        <f>(AN135*2+AN149+AN163-AN177)/2</f>
        <v>0</v>
      </c>
      <c r="AO191" s="1793">
        <f>(AO135*2+AO149+AO163-AO177)/2</f>
        <v>0</v>
      </c>
      <c r="AP191" s="1793">
        <f>(AP135*2+AP149+AP163-AP177)/2</f>
        <v>0</v>
      </c>
      <c r="AQ191" s="1793">
        <f>(AQ135*2+AQ149+AQ163-AQ177)/2</f>
        <v>0</v>
      </c>
      <c r="AR191" s="1793">
        <f>(AR135*2+AR149+AR163-AR177)/2</f>
        <v>0</v>
      </c>
      <c r="AS191" s="481">
        <f>(AS135*2+AS149+AS163-AS177)/2</f>
        <v>0</v>
      </c>
      <c r="AT191" s="1787">
        <f>(AT135*2+AT149+AT163-AT177)/2</f>
        <v>0</v>
      </c>
      <c r="AU191" s="1787">
        <f>(AU135*2+AU149+AU163-AU177)/2</f>
        <v>0</v>
      </c>
      <c r="AV191" s="1793">
        <f>(AV135*2+AV149+AV163-AV177)/2</f>
        <v>0</v>
      </c>
      <c r="AW191" s="1793">
        <f>(AW135*2+AW149+AW163-AW177)/2</f>
        <v>0</v>
      </c>
      <c r="AX191" s="1793">
        <f>(AX135*2+AX149+AX163-AX177)/2</f>
        <v>0</v>
      </c>
      <c r="AY191" s="1793">
        <f>(AY135*2+AY149+AY163-AY177)/2</f>
        <v>0</v>
      </c>
      <c r="AZ191" s="1793">
        <f>(AZ135*2+AZ149+AZ163-AZ177)/2</f>
        <v>0</v>
      </c>
      <c r="BA191" s="1793">
        <f>(BA135*2+BA149+BA163-BA177)/2</f>
        <v>0</v>
      </c>
      <c r="BB191" s="1793">
        <f>(BB135*2+BB149+BB163-BB177)/2</f>
        <v>0</v>
      </c>
      <c r="BC191" s="1883"/>
      <c r="BD191" s="935"/>
      <c r="BE191" s="935"/>
      <c r="BF191" s="1171" t="s">
        <v>1075</v>
      </c>
    </row>
    <row s="1642" customFormat="1" customHeight="1" ht="14.25">
      <c r="A192" s="1498"/>
      <c r="B192" s="925"/>
      <c r="C192" s="1498"/>
      <c r="D192" s="1498"/>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98"/>
      <c r="V192" s="1498"/>
      <c r="W192" s="1498"/>
      <c r="X192" s="1498"/>
      <c r="Y192" s="1498"/>
      <c r="Z192" s="1498"/>
      <c r="AA192" s="935"/>
      <c r="AB192" s="477" t="str">
        <f>AB187&amp;".5"</f>
        <v>5.4.5</v>
      </c>
      <c r="AC192" s="527" t="s">
        <v>1007</v>
      </c>
      <c r="AD192" s="477" t="s">
        <v>986</v>
      </c>
      <c r="AE192" s="1793">
        <f>(AE136*2+AE150+AE164-AE178)/2</f>
        <v>0</v>
      </c>
      <c r="AF192" s="1793">
        <v>6081.258195</v>
      </c>
      <c r="AG192" s="1793">
        <f>(AG136*2+AG150+AG164-AG178)/2</f>
        <v>0</v>
      </c>
      <c r="AH192" s="1793">
        <f>(AH136*2+AH150+AH164-AH178)/2</f>
        <v>0</v>
      </c>
      <c r="AI192" s="481">
        <f>(AI136*2+AI150+AI164-AI178)/2</f>
        <v>0</v>
      </c>
      <c r="AJ192" s="1787">
        <f>(AJ136*2+AJ150+AJ164-AJ178)/2</f>
        <v>0</v>
      </c>
      <c r="AK192" s="1787">
        <f>(AK136*2+AK150+AK164-AK178)/2</f>
        <v>0</v>
      </c>
      <c r="AL192" s="1793">
        <f>(AL136*2+AL150+AL164-AL178)/2</f>
        <v>0</v>
      </c>
      <c r="AM192" s="1793">
        <f>(AM136*2+AM150+AM164-AM178)/2</f>
        <v>0</v>
      </c>
      <c r="AN192" s="1793">
        <f>(AN136*2+AN150+AN164-AN178)/2</f>
        <v>0</v>
      </c>
      <c r="AO192" s="1793">
        <f>(AO136*2+AO150+AO164-AO178)/2</f>
        <v>0</v>
      </c>
      <c r="AP192" s="1793">
        <f>(AP136*2+AP150+AP164-AP178)/2</f>
        <v>0</v>
      </c>
      <c r="AQ192" s="1793">
        <f>(AQ136*2+AQ150+AQ164-AQ178)/2</f>
        <v>0</v>
      </c>
      <c r="AR192" s="1793">
        <f>(AR136*2+AR150+AR164-AR178)/2</f>
        <v>0</v>
      </c>
      <c r="AS192" s="481">
        <f>(AS136*2+AS150+AS164-AS178)/2</f>
        <v>0</v>
      </c>
      <c r="AT192" s="1787">
        <f>(AT136*2+AT150+AT164-AT178)/2</f>
        <v>0</v>
      </c>
      <c r="AU192" s="1787">
        <f>(AU136*2+AU150+AU164-AU178)/2</f>
        <v>0</v>
      </c>
      <c r="AV192" s="1793">
        <f>(AV136*2+AV150+AV164-AV178)/2</f>
        <v>0</v>
      </c>
      <c r="AW192" s="1793">
        <f>(AW136*2+AW150+AW164-AW178)/2</f>
        <v>0</v>
      </c>
      <c r="AX192" s="1793">
        <f>(AX136*2+AX150+AX164-AX178)/2</f>
        <v>0</v>
      </c>
      <c r="AY192" s="1793">
        <f>(AY136*2+AY150+AY164-AY178)/2</f>
        <v>0</v>
      </c>
      <c r="AZ192" s="1793">
        <f>(AZ136*2+AZ150+AZ164-AZ178)/2</f>
        <v>0</v>
      </c>
      <c r="BA192" s="1793">
        <f>(BA136*2+BA150+BA164-BA178)/2</f>
        <v>0</v>
      </c>
      <c r="BB192" s="1793">
        <f>(BB136*2+BB150+BB164-BB178)/2</f>
        <v>0</v>
      </c>
      <c r="BC192" s="1883"/>
      <c r="BD192" s="935"/>
      <c r="BE192" s="935"/>
      <c r="BF192" s="1171" t="s">
        <v>1076</v>
      </c>
    </row>
    <row s="1642" customFormat="1" customHeight="1" ht="14.25">
      <c r="A193" s="1498"/>
      <c r="B193" s="925"/>
      <c r="C193" s="1498"/>
      <c r="D193" s="1498"/>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98"/>
      <c r="V193" s="1498"/>
      <c r="W193" s="1498"/>
      <c r="X193" s="1498"/>
      <c r="Y193" s="1498"/>
      <c r="Z193" s="1498"/>
      <c r="AA193" s="935"/>
      <c r="AB193" s="477" t="str">
        <f>AB183&amp;".5"</f>
        <v>5.5</v>
      </c>
      <c r="AC193" s="469" t="s">
        <v>1010</v>
      </c>
      <c r="AD193" s="477" t="s">
        <v>986</v>
      </c>
      <c r="AE193" s="1793">
        <f>(AE137*2+AE151+AE165-AE179)/2</f>
        <v>0</v>
      </c>
      <c r="AF193" s="1793">
        <f>(AF137*2+AF151+AF165-AF179)/2</f>
        <v>0</v>
      </c>
      <c r="AG193" s="1793">
        <f>(AG137*2+AG151+AG165-AG179)/2</f>
        <v>0</v>
      </c>
      <c r="AH193" s="1793">
        <f>(AH137*2+AH151+AH165-AH179)/2</f>
        <v>0</v>
      </c>
      <c r="AI193" s="481">
        <f>(AI137*2+AI151+AI165-AI179)/2</f>
        <v>0</v>
      </c>
      <c r="AJ193" s="1787">
        <f>(AJ137*2+AJ151+AJ165-AJ179)/2</f>
        <v>0</v>
      </c>
      <c r="AK193" s="1787">
        <f>(AK137*2+AK151+AK165-AK179)/2</f>
        <v>0</v>
      </c>
      <c r="AL193" s="1793">
        <f>(AL137*2+AL151+AL165-AL179)/2</f>
        <v>0</v>
      </c>
      <c r="AM193" s="1793">
        <f>(AM137*2+AM151+AM165-AM179)/2</f>
        <v>0</v>
      </c>
      <c r="AN193" s="1793">
        <f>(AN137*2+AN151+AN165-AN179)/2</f>
        <v>0</v>
      </c>
      <c r="AO193" s="1793">
        <f>(AO137*2+AO151+AO165-AO179)/2</f>
        <v>0</v>
      </c>
      <c r="AP193" s="1793">
        <f>(AP137*2+AP151+AP165-AP179)/2</f>
        <v>0</v>
      </c>
      <c r="AQ193" s="1793">
        <f>(AQ137*2+AQ151+AQ165-AQ179)/2</f>
        <v>0</v>
      </c>
      <c r="AR193" s="1793">
        <f>(AR137*2+AR151+AR165-AR179)/2</f>
        <v>0</v>
      </c>
      <c r="AS193" s="481">
        <f>(AS137*2+AS151+AS165-AS179)/2</f>
        <v>0</v>
      </c>
      <c r="AT193" s="1787">
        <f>(AT137*2+AT151+AT165-AT179)/2</f>
        <v>0</v>
      </c>
      <c r="AU193" s="1787">
        <f>(AU137*2+AU151+AU165-AU179)/2</f>
        <v>0</v>
      </c>
      <c r="AV193" s="1793">
        <f>(AV137*2+AV151+AV165-AV179)/2</f>
        <v>0</v>
      </c>
      <c r="AW193" s="1793">
        <f>(AW137*2+AW151+AW165-AW179)/2</f>
        <v>0</v>
      </c>
      <c r="AX193" s="1793">
        <f>(AX137*2+AX151+AX165-AX179)/2</f>
        <v>0</v>
      </c>
      <c r="AY193" s="1793">
        <f>(AY137*2+AY151+AY165-AY179)/2</f>
        <v>0</v>
      </c>
      <c r="AZ193" s="1793">
        <f>(AZ137*2+AZ151+AZ165-AZ179)/2</f>
        <v>0</v>
      </c>
      <c r="BA193" s="1793">
        <f>(BA137*2+BA151+BA165-BA179)/2</f>
        <v>0</v>
      </c>
      <c r="BB193" s="1793">
        <f>(BB137*2+BB151+BB165-BB179)/2</f>
        <v>0</v>
      </c>
      <c r="BC193" s="1883"/>
      <c r="BD193" s="935"/>
      <c r="BE193" s="935"/>
      <c r="BF193" s="1171" t="s">
        <v>1077</v>
      </c>
    </row>
    <row s="1642" customFormat="1" customHeight="1" ht="14.25">
      <c r="A194" s="1498"/>
      <c r="B194" s="925"/>
      <c r="C194" s="1498"/>
      <c r="D194" s="1498"/>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98"/>
      <c r="V194" s="1498"/>
      <c r="W194" s="1498"/>
      <c r="X194" s="1498"/>
      <c r="Y194" s="1498"/>
      <c r="Z194" s="1498"/>
      <c r="AA194" s="935"/>
      <c r="AB194" s="477" t="str">
        <f>AB183&amp;".6"</f>
        <v>5.6</v>
      </c>
      <c r="AC194" s="469" t="s">
        <v>1013</v>
      </c>
      <c r="AD194" s="477" t="s">
        <v>986</v>
      </c>
      <c r="AE194" s="1793">
        <f>(AE138*2+AE152+AE166-AE180)/2</f>
        <v>0</v>
      </c>
      <c r="AF194" s="1793">
        <f>(AF138*2+AF152+AF166-AF180)/2</f>
        <v>0</v>
      </c>
      <c r="AG194" s="1793">
        <f>(AG138*2+AG152+AG166-AG180)/2</f>
        <v>0</v>
      </c>
      <c r="AH194" s="1793">
        <f>(AH138*2+AH152+AH166-AH180)/2</f>
        <v>0</v>
      </c>
      <c r="AI194" s="481">
        <f>(AI138*2+AI152+AI166-AI180)/2</f>
        <v>0</v>
      </c>
      <c r="AJ194" s="1787">
        <f>(AJ138*2+AJ152+AJ166-AJ180)/2</f>
        <v>0</v>
      </c>
      <c r="AK194" s="1787">
        <f>(AK138*2+AK152+AK166-AK180)/2</f>
        <v>0</v>
      </c>
      <c r="AL194" s="1793">
        <f>(AL138*2+AL152+AL166-AL180)/2</f>
        <v>0</v>
      </c>
      <c r="AM194" s="1793">
        <f>(AM138*2+AM152+AM166-AM180)/2</f>
        <v>0</v>
      </c>
      <c r="AN194" s="1793">
        <f>(AN138*2+AN152+AN166-AN180)/2</f>
        <v>0</v>
      </c>
      <c r="AO194" s="1793">
        <f>(AO138*2+AO152+AO166-AO180)/2</f>
        <v>0</v>
      </c>
      <c r="AP194" s="1793">
        <f>(AP138*2+AP152+AP166-AP180)/2</f>
        <v>0</v>
      </c>
      <c r="AQ194" s="1793">
        <f>(AQ138*2+AQ152+AQ166-AQ180)/2</f>
        <v>0</v>
      </c>
      <c r="AR194" s="1793">
        <f>(AR138*2+AR152+AR166-AR180)/2</f>
        <v>0</v>
      </c>
      <c r="AS194" s="481">
        <f>(AS138*2+AS152+AS166-AS180)/2</f>
        <v>0</v>
      </c>
      <c r="AT194" s="1787">
        <f>(AT138*2+AT152+AT166-AT180)/2</f>
        <v>0</v>
      </c>
      <c r="AU194" s="1787">
        <f>(AU138*2+AU152+AU166-AU180)/2</f>
        <v>0</v>
      </c>
      <c r="AV194" s="1793">
        <f>(AV138*2+AV152+AV166-AV180)/2</f>
        <v>0</v>
      </c>
      <c r="AW194" s="1793">
        <f>(AW138*2+AW152+AW166-AW180)/2</f>
        <v>0</v>
      </c>
      <c r="AX194" s="1793">
        <f>(AX138*2+AX152+AX166-AX180)/2</f>
        <v>0</v>
      </c>
      <c r="AY194" s="1793">
        <f>(AY138*2+AY152+AY166-AY180)/2</f>
        <v>0</v>
      </c>
      <c r="AZ194" s="1793">
        <f>(AZ138*2+AZ152+AZ166-AZ180)/2</f>
        <v>0</v>
      </c>
      <c r="BA194" s="1793">
        <f>(BA138*2+BA152+BA166-BA180)/2</f>
        <v>0</v>
      </c>
      <c r="BB194" s="1793">
        <f>(BB138*2+BB152+BB166-BB180)/2</f>
        <v>0</v>
      </c>
      <c r="BC194" s="1883"/>
      <c r="BD194" s="935"/>
      <c r="BE194" s="935"/>
      <c r="BF194" s="1171" t="s">
        <v>1078</v>
      </c>
    </row>
    <row s="1642" customFormat="1" customHeight="1" ht="14.25">
      <c r="A195" s="1498"/>
      <c r="B195" s="925"/>
      <c r="C195" s="1498"/>
      <c r="D195" s="1498"/>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98"/>
      <c r="V195" s="1498"/>
      <c r="W195" s="1498"/>
      <c r="X195" s="1498"/>
      <c r="Y195" s="1498"/>
      <c r="Z195" s="1498"/>
      <c r="AA195" s="935"/>
      <c r="AB195" s="477" t="str">
        <f>AB183&amp;".7"</f>
        <v>5.7</v>
      </c>
      <c r="AC195" s="469" t="s">
        <v>1016</v>
      </c>
      <c r="AD195" s="477" t="s">
        <v>986</v>
      </c>
      <c r="AE195" s="1793">
        <f>(AE139*2+AE153+AE167-AE181)/2</f>
        <v>0</v>
      </c>
      <c r="AF195" s="1793">
        <f>(AF139*2+AF153+AF167-AF181)/2</f>
        <v>0</v>
      </c>
      <c r="AG195" s="1793">
        <f>(AG139*2+AG153+AG167-AG181)/2</f>
        <v>0</v>
      </c>
      <c r="AH195" s="1793">
        <f>(AH139*2+AH153+AH167-AH181)/2</f>
        <v>0</v>
      </c>
      <c r="AI195" s="481">
        <f>(AI139*2+AI153+AI167-AI181)/2</f>
        <v>0</v>
      </c>
      <c r="AJ195" s="1787">
        <f>(AJ139*2+AJ153+AJ167-AJ181)/2</f>
        <v>0</v>
      </c>
      <c r="AK195" s="1787">
        <f>(AK139*2+AK153+AK167-AK181)/2</f>
        <v>0</v>
      </c>
      <c r="AL195" s="1793">
        <f>(AL139*2+AL153+AL167-AL181)/2</f>
        <v>0</v>
      </c>
      <c r="AM195" s="1793">
        <f>(AM139*2+AM153+AM167-AM181)/2</f>
        <v>0</v>
      </c>
      <c r="AN195" s="1793">
        <f>(AN139*2+AN153+AN167-AN181)/2</f>
        <v>0</v>
      </c>
      <c r="AO195" s="1793">
        <f>(AO139*2+AO153+AO167-AO181)/2</f>
        <v>0</v>
      </c>
      <c r="AP195" s="1793">
        <f>(AP139*2+AP153+AP167-AP181)/2</f>
        <v>0</v>
      </c>
      <c r="AQ195" s="1793">
        <f>(AQ139*2+AQ153+AQ167-AQ181)/2</f>
        <v>0</v>
      </c>
      <c r="AR195" s="1793">
        <f>(AR139*2+AR153+AR167-AR181)/2</f>
        <v>0</v>
      </c>
      <c r="AS195" s="481">
        <f>(AS139*2+AS153+AS167-AS181)/2</f>
        <v>0</v>
      </c>
      <c r="AT195" s="1787">
        <f>(AT139*2+AT153+AT167-AT181)/2</f>
        <v>0</v>
      </c>
      <c r="AU195" s="1787">
        <f>(AU139*2+AU153+AU167-AU181)/2</f>
        <v>0</v>
      </c>
      <c r="AV195" s="1793">
        <f>(AV139*2+AV153+AV167-AV181)/2</f>
        <v>0</v>
      </c>
      <c r="AW195" s="1793">
        <f>(AW139*2+AW153+AW167-AW181)/2</f>
        <v>0</v>
      </c>
      <c r="AX195" s="1793">
        <f>(AX139*2+AX153+AX167-AX181)/2</f>
        <v>0</v>
      </c>
      <c r="AY195" s="1793">
        <f>(AY139*2+AY153+AY167-AY181)/2</f>
        <v>0</v>
      </c>
      <c r="AZ195" s="1793">
        <f>(AZ139*2+AZ153+AZ167-AZ181)/2</f>
        <v>0</v>
      </c>
      <c r="BA195" s="1793">
        <f>(BA139*2+BA153+BA167-BA181)/2</f>
        <v>0</v>
      </c>
      <c r="BB195" s="1793">
        <f>(BB139*2+BB153+BB167-BB181)/2</f>
        <v>0</v>
      </c>
      <c r="BC195" s="1883"/>
      <c r="BD195" s="935"/>
      <c r="BE195" s="935"/>
      <c r="BF195" s="1171" t="s">
        <v>1079</v>
      </c>
    </row>
    <row s="1642" customFormat="1" customHeight="1" ht="14.25">
      <c r="A196" s="1498"/>
      <c r="B196" s="925"/>
      <c r="C196" s="1498"/>
      <c r="D196" s="1498"/>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98"/>
      <c r="V196" s="1498"/>
      <c r="W196" s="1498"/>
      <c r="X196" s="1498"/>
      <c r="Y196" s="1498"/>
      <c r="Z196" s="1498"/>
      <c r="AA196" s="935"/>
      <c r="AB196" s="477" t="str">
        <f>AB183&amp;".8"</f>
        <v>5.8</v>
      </c>
      <c r="AC196" s="469" t="s">
        <v>1019</v>
      </c>
      <c r="AD196" s="477" t="s">
        <v>986</v>
      </c>
      <c r="AE196" s="1793">
        <v>97219.334275</v>
      </c>
      <c r="AF196" s="1793">
        <v>97219.334275</v>
      </c>
      <c r="AG196" s="1793">
        <v>97219.334275</v>
      </c>
      <c r="AH196" s="1793">
        <v>97219.334275</v>
      </c>
      <c r="AI196" s="481">
        <v>97219.334275</v>
      </c>
      <c r="AJ196" s="1787">
        <f>(AJ140*2+AJ154+AJ168-AJ182)/2</f>
        <v>0</v>
      </c>
      <c r="AK196" s="1787">
        <f>(AK140*2+AK154+AK168-AK182)/2</f>
        <v>0</v>
      </c>
      <c r="AL196" s="1793">
        <f>(AL140*2+AL154+AL168-AL182)/2</f>
        <v>0</v>
      </c>
      <c r="AM196" s="1793">
        <f>(AM140*2+AM154+AM168-AM182)/2</f>
        <v>0</v>
      </c>
      <c r="AN196" s="1793">
        <f>(AN140*2+AN154+AN168-AN182)/2</f>
        <v>0</v>
      </c>
      <c r="AO196" s="1793">
        <f>(AO140*2+AO154+AO168-AO182)/2</f>
        <v>0</v>
      </c>
      <c r="AP196" s="1793">
        <f>(AP140*2+AP154+AP168-AP182)/2</f>
        <v>0</v>
      </c>
      <c r="AQ196" s="1793">
        <f>(AQ140*2+AQ154+AQ168-AQ182)/2</f>
        <v>0</v>
      </c>
      <c r="AR196" s="1793">
        <f>(AR140*2+AR154+AR168-AR182)/2</f>
        <v>0</v>
      </c>
      <c r="AS196" s="481">
        <v>97219.334275</v>
      </c>
      <c r="AT196" s="1787">
        <f>(AT140*2+AT154+AT168-AT182)/2</f>
        <v>0</v>
      </c>
      <c r="AU196" s="1787">
        <f>(AU140*2+AU154+AU168-AU182)/2</f>
        <v>0</v>
      </c>
      <c r="AV196" s="1793">
        <f>(AV140*2+AV154+AV168-AV182)/2</f>
        <v>0</v>
      </c>
      <c r="AW196" s="1793">
        <f>(AW140*2+AW154+AW168-AW182)/2</f>
        <v>0</v>
      </c>
      <c r="AX196" s="1793">
        <f>(AX140*2+AX154+AX168-AX182)/2</f>
        <v>0</v>
      </c>
      <c r="AY196" s="1793">
        <f>(AY140*2+AY154+AY168-AY182)/2</f>
        <v>0</v>
      </c>
      <c r="AZ196" s="1793">
        <f>(AZ140*2+AZ154+AZ168-AZ182)/2</f>
        <v>0</v>
      </c>
      <c r="BA196" s="1793">
        <f>(BA140*2+BA154+BA168-BA182)/2</f>
        <v>0</v>
      </c>
      <c r="BB196" s="1793">
        <f>(BB140*2+BB154+BB168-BB182)/2</f>
        <v>0</v>
      </c>
      <c r="BC196" s="1883"/>
      <c r="BD196" s="935"/>
      <c r="BE196" s="935"/>
      <c r="BF196" s="1171" t="s">
        <v>1080</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1081</v>
      </c>
      <c r="AD197" s="486" t="s">
        <v>485</v>
      </c>
      <c r="AE197" s="1863"/>
      <c r="AF197" s="1863"/>
      <c r="AG197" s="1863"/>
      <c r="AH197" s="1863"/>
      <c r="AI197" s="292"/>
      <c r="AJ197" s="1848"/>
      <c r="AK197" s="1848"/>
      <c r="AL197" s="1863"/>
      <c r="AM197" s="1863"/>
      <c r="AN197" s="1863"/>
      <c r="AO197" s="1863"/>
      <c r="AP197" s="1863"/>
      <c r="AQ197" s="1863"/>
      <c r="AR197" s="1863"/>
      <c r="AS197" s="292"/>
      <c r="AT197" s="1848"/>
      <c r="AU197" s="1848"/>
      <c r="AV197" s="1863"/>
      <c r="AW197" s="1863"/>
      <c r="AX197" s="1863"/>
      <c r="AY197" s="1863"/>
      <c r="AZ197" s="1863"/>
      <c r="BA197" s="1863"/>
      <c r="BB197" s="1863"/>
      <c r="BC197" s="1792"/>
      <c r="BD197" s="214"/>
      <c r="BE197" s="214"/>
      <c r="BF197" s="1171" t="s">
        <v>1082</v>
      </c>
    </row>
    <row s="1642" customFormat="1" customHeight="1" ht="14.25">
      <c r="A198" s="1498"/>
      <c r="B198" s="925"/>
      <c r="C198" s="1498"/>
      <c r="D198" s="1498"/>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98"/>
      <c r="V198" s="1498"/>
      <c r="W198" s="1498"/>
      <c r="X198" s="1498"/>
      <c r="Y198" s="1498"/>
      <c r="Z198" s="1498"/>
      <c r="AA198" s="935"/>
      <c r="AB198" s="486" t="str">
        <f>AB197&amp;".1"</f>
        <v>6.1</v>
      </c>
      <c r="AC198" s="487" t="s">
        <v>985</v>
      </c>
      <c r="AD198" s="486" t="s">
        <v>485</v>
      </c>
      <c r="AE198" s="1680">
        <f>IF(AE184=0,0,AE212/AE184*100)</f>
        <v>0</v>
      </c>
      <c r="AF198" s="1680">
        <f>IF(AF184=0,0,AF212/AF184*100)</f>
        <v>0</v>
      </c>
      <c r="AG198" s="1680">
        <f>IF(AG184=0,0,AG212/AG184*100)</f>
        <v>0</v>
      </c>
      <c r="AH198" s="1680">
        <f>IF(AH184=0,0,AH212/AH184*100)</f>
        <v>0</v>
      </c>
      <c r="AI198" s="280">
        <f>IF(AI184=0,0,AI212/AI184*100)</f>
        <v>0</v>
      </c>
      <c r="AJ198" s="1664">
        <f>IF(AJ184=0,0,AJ212/AJ184*100)</f>
        <v>0</v>
      </c>
      <c r="AK198" s="1664">
        <f>IF(AK184=0,0,AK212/AK184*100)</f>
        <v>0</v>
      </c>
      <c r="AL198" s="1680">
        <f>IF(AL184=0,0,AL212/AL184*100)</f>
        <v>0</v>
      </c>
      <c r="AM198" s="1680">
        <f>IF(AM184=0,0,AM212/AM184*100)</f>
        <v>0</v>
      </c>
      <c r="AN198" s="1680">
        <f>IF(AN184=0,0,AN212/AN184*100)</f>
        <v>0</v>
      </c>
      <c r="AO198" s="1680">
        <f>IF(AO184=0,0,AO212/AO184*100)</f>
        <v>0</v>
      </c>
      <c r="AP198" s="1680">
        <f>IF(AP184=0,0,AP212/AP184*100)</f>
        <v>0</v>
      </c>
      <c r="AQ198" s="1680">
        <f>IF(AQ184=0,0,AQ212/AQ184*100)</f>
        <v>0</v>
      </c>
      <c r="AR198" s="1680">
        <f>IF(AR184=0,0,AR212/AR184*100)</f>
        <v>0</v>
      </c>
      <c r="AS198" s="280">
        <f>IF(AS184=0,0,AS212/AS184*100)</f>
        <v>0</v>
      </c>
      <c r="AT198" s="1664">
        <f>IF(AT184=0,0,AT212/AT184*100)</f>
        <v>0</v>
      </c>
      <c r="AU198" s="1664">
        <f>IF(AU184=0,0,AU212/AU184*100)</f>
        <v>0</v>
      </c>
      <c r="AV198" s="1680">
        <f>IF(AV184=0,0,AV212/AV184*100)</f>
        <v>0</v>
      </c>
      <c r="AW198" s="1680">
        <f>IF(AW184=0,0,AW212/AW184*100)</f>
        <v>0</v>
      </c>
      <c r="AX198" s="1680">
        <f>IF(AX184=0,0,AX212/AX184*100)</f>
        <v>0</v>
      </c>
      <c r="AY198" s="1680">
        <f>IF(AY184=0,0,AY212/AY184*100)</f>
        <v>0</v>
      </c>
      <c r="AZ198" s="1680">
        <f>IF(AZ184=0,0,AZ212/AZ184*100)</f>
        <v>0</v>
      </c>
      <c r="BA198" s="1680">
        <f>IF(BA184=0,0,BA212/BA184*100)</f>
        <v>0</v>
      </c>
      <c r="BB198" s="1680">
        <f>IF(BB184=0,0,BB212/BB184*100)</f>
        <v>0</v>
      </c>
      <c r="BC198" s="1792"/>
      <c r="BD198" s="935"/>
      <c r="BE198" s="935"/>
      <c r="BF198" s="1171" t="s">
        <v>1083</v>
      </c>
    </row>
    <row s="1642" customFormat="1" customHeight="1" ht="14.25">
      <c r="A199" s="1498"/>
      <c r="B199" s="925"/>
      <c r="C199" s="1498"/>
      <c r="D199" s="1498"/>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98"/>
      <c r="V199" s="1498"/>
      <c r="W199" s="1498"/>
      <c r="X199" s="1498"/>
      <c r="Y199" s="1498"/>
      <c r="Z199" s="1498"/>
      <c r="AA199" s="935"/>
      <c r="AB199" s="486" t="str">
        <f>AB197&amp;".2"</f>
        <v>6.2</v>
      </c>
      <c r="AC199" s="487" t="s">
        <v>988</v>
      </c>
      <c r="AD199" s="486" t="s">
        <v>485</v>
      </c>
      <c r="AE199" s="1680">
        <f>IF(AE185=0,0,AE213/AE185*100)</f>
        <v>3.7885034004056</v>
      </c>
      <c r="AF199" s="1680">
        <f>IF(AF185=0,0,AF213/AF185*100)</f>
        <v>0</v>
      </c>
      <c r="AG199" s="1680">
        <f>IF(AG185=0,0,AG213/AG185*100)</f>
        <v>3.7885034004056</v>
      </c>
      <c r="AH199" s="1680">
        <f>IF(AH185=0,0,AH213/AH185*100)</f>
        <v>3.78407551350378</v>
      </c>
      <c r="AI199" s="280">
        <v>10.5700039028826</v>
      </c>
      <c r="AJ199" s="1664">
        <f>IF(AJ185=0,0,AJ213/AJ185*100)</f>
        <v>0</v>
      </c>
      <c r="AK199" s="1664">
        <f>IF(AK185=0,0,AK213/AK185*100)</f>
        <v>0</v>
      </c>
      <c r="AL199" s="1680">
        <f>IF(AL185=0,0,AL213/AL185*100)</f>
        <v>0</v>
      </c>
      <c r="AM199" s="1680">
        <f>IF(AM185=0,0,AM213/AM185*100)</f>
        <v>0</v>
      </c>
      <c r="AN199" s="1680">
        <f>IF(AN185=0,0,AN213/AN185*100)</f>
        <v>0</v>
      </c>
      <c r="AO199" s="1680">
        <f>IF(AO185=0,0,AO213/AO185*100)</f>
        <v>0</v>
      </c>
      <c r="AP199" s="1680">
        <f>IF(AP185=0,0,AP213/AP185*100)</f>
        <v>0</v>
      </c>
      <c r="AQ199" s="1680">
        <f>IF(AQ185=0,0,AQ213/AQ185*100)</f>
        <v>0</v>
      </c>
      <c r="AR199" s="1680">
        <f>IF(AR185=0,0,AR213/AR185*100)</f>
        <v>0</v>
      </c>
      <c r="AS199" s="280">
        <v>3.76880519631768</v>
      </c>
      <c r="AT199" s="1664">
        <f>IF(AT185=0,0,AT213/AT185*100)</f>
        <v>0</v>
      </c>
      <c r="AU199" s="1664">
        <f>IF(AU185=0,0,AU213/AU185*100)</f>
        <v>0</v>
      </c>
      <c r="AV199" s="1680">
        <f>IF(AV185=0,0,AV213/AV185*100)</f>
        <v>0</v>
      </c>
      <c r="AW199" s="1680">
        <f>IF(AW185=0,0,AW213/AW185*100)</f>
        <v>0</v>
      </c>
      <c r="AX199" s="1680">
        <f>IF(AX185=0,0,AX213/AX185*100)</f>
        <v>0</v>
      </c>
      <c r="AY199" s="1680">
        <f>IF(AY185=0,0,AY213/AY185*100)</f>
        <v>0</v>
      </c>
      <c r="AZ199" s="1680">
        <f>IF(AZ185=0,0,AZ213/AZ185*100)</f>
        <v>0</v>
      </c>
      <c r="BA199" s="1680">
        <f>IF(BA185=0,0,BA213/BA185*100)</f>
        <v>0</v>
      </c>
      <c r="BB199" s="1680">
        <f>IF(BB185=0,0,BB213/BB185*100)</f>
        <v>0</v>
      </c>
      <c r="BC199" s="1792"/>
      <c r="BD199" s="935"/>
      <c r="BE199" s="935"/>
      <c r="BF199" s="1171" t="s">
        <v>1084</v>
      </c>
    </row>
    <row s="1642" customFormat="1" customHeight="1" ht="14.25">
      <c r="A200" s="1498"/>
      <c r="B200" s="925"/>
      <c r="C200" s="1498"/>
      <c r="D200" s="1498"/>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98"/>
      <c r="V200" s="1498"/>
      <c r="W200" s="1498"/>
      <c r="X200" s="1498"/>
      <c r="Y200" s="1498"/>
      <c r="Z200" s="1498"/>
      <c r="AA200" s="935"/>
      <c r="AB200" s="486" t="str">
        <f>AB197&amp;".3"</f>
        <v>6.3</v>
      </c>
      <c r="AC200" s="487" t="s">
        <v>990</v>
      </c>
      <c r="AD200" s="486" t="s">
        <v>485</v>
      </c>
      <c r="AE200" s="1680">
        <f>IF(AE186=0,0,AE214/AE186*100)</f>
        <v>0</v>
      </c>
      <c r="AF200" s="1680">
        <f>IF(AF186=0,0,AF214/AF186*100)</f>
        <v>0</v>
      </c>
      <c r="AG200" s="1680">
        <f>IF(AG186=0,0,AG214/AG186*100)</f>
        <v>0</v>
      </c>
      <c r="AH200" s="1680">
        <f>IF(AH186=0,0,AH214/AH186*100)</f>
        <v>0</v>
      </c>
      <c r="AI200" s="280">
        <f>IF(AI186=0,0,AI214/AI186*100)</f>
        <v>0</v>
      </c>
      <c r="AJ200" s="1664">
        <f>IF(AJ186=0,0,AJ214/AJ186*100)</f>
        <v>0</v>
      </c>
      <c r="AK200" s="1664">
        <f>IF(AK186=0,0,AK214/AK186*100)</f>
        <v>0</v>
      </c>
      <c r="AL200" s="1680">
        <f>IF(AL186=0,0,AL214/AL186*100)</f>
        <v>0</v>
      </c>
      <c r="AM200" s="1680">
        <f>IF(AM186=0,0,AM214/AM186*100)</f>
        <v>0</v>
      </c>
      <c r="AN200" s="1680">
        <f>IF(AN186=0,0,AN214/AN186*100)</f>
        <v>0</v>
      </c>
      <c r="AO200" s="1680">
        <f>IF(AO186=0,0,AO214/AO186*100)</f>
        <v>0</v>
      </c>
      <c r="AP200" s="1680">
        <f>IF(AP186=0,0,AP214/AP186*100)</f>
        <v>0</v>
      </c>
      <c r="AQ200" s="1680">
        <f>IF(AQ186=0,0,AQ214/AQ186*100)</f>
        <v>0</v>
      </c>
      <c r="AR200" s="1680">
        <f>IF(AR186=0,0,AR214/AR186*100)</f>
        <v>0</v>
      </c>
      <c r="AS200" s="280">
        <f>IF(AS186=0,0,AS214/AS186*100)</f>
        <v>0</v>
      </c>
      <c r="AT200" s="1664">
        <f>IF(AT186=0,0,AT214/AT186*100)</f>
        <v>0</v>
      </c>
      <c r="AU200" s="1664">
        <f>IF(AU186=0,0,AU214/AU186*100)</f>
        <v>0</v>
      </c>
      <c r="AV200" s="1680">
        <f>IF(AV186=0,0,AV214/AV186*100)</f>
        <v>0</v>
      </c>
      <c r="AW200" s="1680">
        <f>IF(AW186=0,0,AW214/AW186*100)</f>
        <v>0</v>
      </c>
      <c r="AX200" s="1680">
        <f>IF(AX186=0,0,AX214/AX186*100)</f>
        <v>0</v>
      </c>
      <c r="AY200" s="1680">
        <f>IF(AY186=0,0,AY214/AY186*100)</f>
        <v>0</v>
      </c>
      <c r="AZ200" s="1680">
        <f>IF(AZ186=0,0,AZ214/AZ186*100)</f>
        <v>0</v>
      </c>
      <c r="BA200" s="1680">
        <f>IF(BA186=0,0,BA214/BA186*100)</f>
        <v>0</v>
      </c>
      <c r="BB200" s="1680">
        <f>IF(BB186=0,0,BB214/BB186*100)</f>
        <v>0</v>
      </c>
      <c r="BC200" s="1792"/>
      <c r="BD200" s="935"/>
      <c r="BE200" s="935"/>
      <c r="BF200" s="1171" t="s">
        <v>1085</v>
      </c>
    </row>
    <row s="1642" customFormat="1" customHeight="1" ht="14.25">
      <c r="A201" s="1498"/>
      <c r="B201" s="925"/>
      <c r="C201" s="1498"/>
      <c r="D201" s="1498"/>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98"/>
      <c r="V201" s="1498"/>
      <c r="W201" s="1498"/>
      <c r="X201" s="1498"/>
      <c r="Y201" s="1498"/>
      <c r="Z201" s="1498"/>
      <c r="AA201" s="935"/>
      <c r="AB201" s="486" t="str">
        <f>AB197&amp;".4"</f>
        <v>6.4</v>
      </c>
      <c r="AC201" s="487" t="s">
        <v>992</v>
      </c>
      <c r="AD201" s="486" t="s">
        <v>485</v>
      </c>
      <c r="AE201" s="1680">
        <f>IF(AE187=0,0,AE215/AE187*100)</f>
        <v>0</v>
      </c>
      <c r="AF201" s="1680">
        <f>IF(AF187=0,0,AF215/AF187*100)</f>
        <v>0</v>
      </c>
      <c r="AG201" s="1680">
        <f>IF(AG187=0,0,AG215/AG187*100)</f>
        <v>0</v>
      </c>
      <c r="AH201" s="1680">
        <f>IF(AH187=0,0,AH215/AH187*100)</f>
        <v>0</v>
      </c>
      <c r="AI201" s="280">
        <f>IF(AI187=0,0,AI215/AI187*100)</f>
        <v>0</v>
      </c>
      <c r="AJ201" s="1664">
        <f>IF(AJ187=0,0,AJ215/AJ187*100)</f>
        <v>0</v>
      </c>
      <c r="AK201" s="1664">
        <f>IF(AK187=0,0,AK215/AK187*100)</f>
        <v>0</v>
      </c>
      <c r="AL201" s="1680">
        <f>IF(AL187=0,0,AL215/AL187*100)</f>
        <v>0</v>
      </c>
      <c r="AM201" s="1680">
        <f>IF(AM187=0,0,AM215/AM187*100)</f>
        <v>0</v>
      </c>
      <c r="AN201" s="1680">
        <f>IF(AN187=0,0,AN215/AN187*100)</f>
        <v>0</v>
      </c>
      <c r="AO201" s="1680">
        <f>IF(AO187=0,0,AO215/AO187*100)</f>
        <v>0</v>
      </c>
      <c r="AP201" s="1680">
        <f>IF(AP187=0,0,AP215/AP187*100)</f>
        <v>0</v>
      </c>
      <c r="AQ201" s="1680">
        <f>IF(AQ187=0,0,AQ215/AQ187*100)</f>
        <v>0</v>
      </c>
      <c r="AR201" s="1680">
        <f>IF(AR187=0,0,AR215/AR187*100)</f>
        <v>0</v>
      </c>
      <c r="AS201" s="280">
        <f>IF(AS187=0,0,AS215/AS187*100)</f>
        <v>0</v>
      </c>
      <c r="AT201" s="1664">
        <f>IF(AT187=0,0,AT215/AT187*100)</f>
        <v>0</v>
      </c>
      <c r="AU201" s="1664">
        <f>IF(AU187=0,0,AU215/AU187*100)</f>
        <v>0</v>
      </c>
      <c r="AV201" s="1680">
        <f>IF(AV187=0,0,AV215/AV187*100)</f>
        <v>0</v>
      </c>
      <c r="AW201" s="1680">
        <f>IF(AW187=0,0,AW215/AW187*100)</f>
        <v>0</v>
      </c>
      <c r="AX201" s="1680">
        <f>IF(AX187=0,0,AX215/AX187*100)</f>
        <v>0</v>
      </c>
      <c r="AY201" s="1680">
        <f>IF(AY187=0,0,AY215/AY187*100)</f>
        <v>0</v>
      </c>
      <c r="AZ201" s="1680">
        <f>IF(AZ187=0,0,AZ215/AZ187*100)</f>
        <v>0</v>
      </c>
      <c r="BA201" s="1680">
        <f>IF(BA187=0,0,BA215/BA187*100)</f>
        <v>0</v>
      </c>
      <c r="BB201" s="1680">
        <f>IF(BB187=0,0,BB215/BB187*100)</f>
        <v>0</v>
      </c>
      <c r="BC201" s="1792"/>
      <c r="BD201" s="935"/>
      <c r="BE201" s="935"/>
      <c r="BF201" s="1171" t="s">
        <v>1086</v>
      </c>
    </row>
    <row s="1642" customFormat="1" customHeight="1" ht="14.25">
      <c r="A202" s="1498"/>
      <c r="B202" s="925"/>
      <c r="C202" s="1498"/>
      <c r="D202" s="1498"/>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98"/>
      <c r="V202" s="1498"/>
      <c r="W202" s="1498"/>
      <c r="X202" s="1498"/>
      <c r="Y202" s="1498"/>
      <c r="Z202" s="1498"/>
      <c r="AA202" s="935"/>
      <c r="AB202" s="486" t="str">
        <f>AB201&amp;".1"</f>
        <v>6.4.1</v>
      </c>
      <c r="AC202" s="488" t="s">
        <v>995</v>
      </c>
      <c r="AD202" s="486" t="s">
        <v>485</v>
      </c>
      <c r="AE202" s="1680">
        <f>IF(AE188=0,0,AE216/AE188*100)</f>
        <v>0</v>
      </c>
      <c r="AF202" s="1680">
        <f>IF(AF188=0,0,AF216/AF188*100)</f>
        <v>0</v>
      </c>
      <c r="AG202" s="1680">
        <f>IF(AG188=0,0,AG216/AG188*100)</f>
        <v>0</v>
      </c>
      <c r="AH202" s="1680">
        <f>IF(AH188=0,0,AH216/AH188*100)</f>
        <v>0</v>
      </c>
      <c r="AI202" s="280">
        <f>IF(AI188=0,0,AI216/AI188*100)</f>
        <v>0</v>
      </c>
      <c r="AJ202" s="1664">
        <f>IF(AJ188=0,0,AJ216/AJ188*100)</f>
        <v>0</v>
      </c>
      <c r="AK202" s="1664">
        <f>IF(AK188=0,0,AK216/AK188*100)</f>
        <v>0</v>
      </c>
      <c r="AL202" s="1680">
        <f>IF(AL188=0,0,AL216/AL188*100)</f>
        <v>0</v>
      </c>
      <c r="AM202" s="1680">
        <f>IF(AM188=0,0,AM216/AM188*100)</f>
        <v>0</v>
      </c>
      <c r="AN202" s="1680">
        <f>IF(AN188=0,0,AN216/AN188*100)</f>
        <v>0</v>
      </c>
      <c r="AO202" s="1680">
        <f>IF(AO188=0,0,AO216/AO188*100)</f>
        <v>0</v>
      </c>
      <c r="AP202" s="1680">
        <f>IF(AP188=0,0,AP216/AP188*100)</f>
        <v>0</v>
      </c>
      <c r="AQ202" s="1680">
        <f>IF(AQ188=0,0,AQ216/AQ188*100)</f>
        <v>0</v>
      </c>
      <c r="AR202" s="1680">
        <f>IF(AR188=0,0,AR216/AR188*100)</f>
        <v>0</v>
      </c>
      <c r="AS202" s="280">
        <f>IF(AS188=0,0,AS216/AS188*100)</f>
        <v>0</v>
      </c>
      <c r="AT202" s="1664">
        <f>IF(AT188=0,0,AT216/AT188*100)</f>
        <v>0</v>
      </c>
      <c r="AU202" s="1664">
        <f>IF(AU188=0,0,AU216/AU188*100)</f>
        <v>0</v>
      </c>
      <c r="AV202" s="1680">
        <f>IF(AV188=0,0,AV216/AV188*100)</f>
        <v>0</v>
      </c>
      <c r="AW202" s="1680">
        <f>IF(AW188=0,0,AW216/AW188*100)</f>
        <v>0</v>
      </c>
      <c r="AX202" s="1680">
        <f>IF(AX188=0,0,AX216/AX188*100)</f>
        <v>0</v>
      </c>
      <c r="AY202" s="1680">
        <f>IF(AY188=0,0,AY216/AY188*100)</f>
        <v>0</v>
      </c>
      <c r="AZ202" s="1680">
        <f>IF(AZ188=0,0,AZ216/AZ188*100)</f>
        <v>0</v>
      </c>
      <c r="BA202" s="1680">
        <f>IF(BA188=0,0,BA216/BA188*100)</f>
        <v>0</v>
      </c>
      <c r="BB202" s="1680">
        <f>IF(BB188=0,0,BB216/BB188*100)</f>
        <v>0</v>
      </c>
      <c r="BC202" s="1792"/>
      <c r="BD202" s="935"/>
      <c r="BE202" s="935"/>
      <c r="BF202" s="1171" t="s">
        <v>1087</v>
      </c>
    </row>
    <row s="1642" customFormat="1" customHeight="1" ht="14.25">
      <c r="A203" s="1498"/>
      <c r="B203" s="925"/>
      <c r="C203" s="1498"/>
      <c r="D203" s="1498"/>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98"/>
      <c r="V203" s="1498"/>
      <c r="W203" s="1498"/>
      <c r="X203" s="1498"/>
      <c r="Y203" s="1498"/>
      <c r="Z203" s="1498"/>
      <c r="AA203" s="935"/>
      <c r="AB203" s="486" t="str">
        <f>AB201&amp;".2"</f>
        <v>6.4.2</v>
      </c>
      <c r="AC203" s="488" t="s">
        <v>998</v>
      </c>
      <c r="AD203" s="486" t="s">
        <v>485</v>
      </c>
      <c r="AE203" s="1680">
        <f>IF(AE189=0,0,AE217/AE189*100)</f>
        <v>0</v>
      </c>
      <c r="AF203" s="1680">
        <f>IF(AF189=0,0,AF217/AF189*100)</f>
        <v>0</v>
      </c>
      <c r="AG203" s="1680">
        <f>IF(AG189=0,0,AG217/AG189*100)</f>
        <v>0</v>
      </c>
      <c r="AH203" s="1680">
        <f>IF(AH189=0,0,AH217/AH189*100)</f>
        <v>0</v>
      </c>
      <c r="AI203" s="280">
        <f>IF(AI189=0,0,AI217/AI189*100)</f>
        <v>0</v>
      </c>
      <c r="AJ203" s="1664">
        <f>IF(AJ189=0,0,AJ217/AJ189*100)</f>
        <v>0</v>
      </c>
      <c r="AK203" s="1664">
        <f>IF(AK189=0,0,AK217/AK189*100)</f>
        <v>0</v>
      </c>
      <c r="AL203" s="1680">
        <f>IF(AL189=0,0,AL217/AL189*100)</f>
        <v>0</v>
      </c>
      <c r="AM203" s="1680">
        <f>IF(AM189=0,0,AM217/AM189*100)</f>
        <v>0</v>
      </c>
      <c r="AN203" s="1680">
        <f>IF(AN189=0,0,AN217/AN189*100)</f>
        <v>0</v>
      </c>
      <c r="AO203" s="1680">
        <f>IF(AO189=0,0,AO217/AO189*100)</f>
        <v>0</v>
      </c>
      <c r="AP203" s="1680">
        <f>IF(AP189=0,0,AP217/AP189*100)</f>
        <v>0</v>
      </c>
      <c r="AQ203" s="1680">
        <f>IF(AQ189=0,0,AQ217/AQ189*100)</f>
        <v>0</v>
      </c>
      <c r="AR203" s="1680">
        <f>IF(AR189=0,0,AR217/AR189*100)</f>
        <v>0</v>
      </c>
      <c r="AS203" s="280">
        <f>IF(AS189=0,0,AS217/AS189*100)</f>
        <v>0</v>
      </c>
      <c r="AT203" s="1664">
        <f>IF(AT189=0,0,AT217/AT189*100)</f>
        <v>0</v>
      </c>
      <c r="AU203" s="1664">
        <f>IF(AU189=0,0,AU217/AU189*100)</f>
        <v>0</v>
      </c>
      <c r="AV203" s="1680">
        <f>IF(AV189=0,0,AV217/AV189*100)</f>
        <v>0</v>
      </c>
      <c r="AW203" s="1680">
        <f>IF(AW189=0,0,AW217/AW189*100)</f>
        <v>0</v>
      </c>
      <c r="AX203" s="1680">
        <f>IF(AX189=0,0,AX217/AX189*100)</f>
        <v>0</v>
      </c>
      <c r="AY203" s="1680">
        <f>IF(AY189=0,0,AY217/AY189*100)</f>
        <v>0</v>
      </c>
      <c r="AZ203" s="1680">
        <f>IF(AZ189=0,0,AZ217/AZ189*100)</f>
        <v>0</v>
      </c>
      <c r="BA203" s="1680">
        <f>IF(BA189=0,0,BA217/BA189*100)</f>
        <v>0</v>
      </c>
      <c r="BB203" s="1680">
        <f>IF(BB189=0,0,BB217/BB189*100)</f>
        <v>0</v>
      </c>
      <c r="BC203" s="1792"/>
      <c r="BD203" s="935"/>
      <c r="BE203" s="935"/>
      <c r="BF203" s="1171" t="s">
        <v>1088</v>
      </c>
    </row>
    <row s="1642" customFormat="1" customHeight="1" ht="14.25">
      <c r="A204" s="1498"/>
      <c r="B204" s="925"/>
      <c r="C204" s="1498"/>
      <c r="D204" s="1498"/>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98"/>
      <c r="V204" s="1498"/>
      <c r="W204" s="1498"/>
      <c r="X204" s="1498"/>
      <c r="Y204" s="1498"/>
      <c r="Z204" s="1498"/>
      <c r="AA204" s="935"/>
      <c r="AB204" s="486" t="str">
        <f>AB201&amp;".3"</f>
        <v>6.4.3</v>
      </c>
      <c r="AC204" s="488" t="s">
        <v>1001</v>
      </c>
      <c r="AD204" s="486" t="s">
        <v>485</v>
      </c>
      <c r="AE204" s="1680">
        <f>IF(AE190=0,0,AE218/AE190*100)</f>
        <v>0</v>
      </c>
      <c r="AF204" s="1680">
        <f>IF(AF190=0,0,AF218/AF190*100)</f>
        <v>0</v>
      </c>
      <c r="AG204" s="1680">
        <f>IF(AG190=0,0,AG218/AG190*100)</f>
        <v>0</v>
      </c>
      <c r="AH204" s="1680">
        <f>IF(AH190=0,0,AH218/AH190*100)</f>
        <v>0</v>
      </c>
      <c r="AI204" s="280">
        <f>IF(AI190=0,0,AI218/AI190*100)</f>
        <v>0</v>
      </c>
      <c r="AJ204" s="1664">
        <f>IF(AJ190=0,0,AJ218/AJ190*100)</f>
        <v>0</v>
      </c>
      <c r="AK204" s="1664">
        <f>IF(AK190=0,0,AK218/AK190*100)</f>
        <v>0</v>
      </c>
      <c r="AL204" s="1680">
        <f>IF(AL190=0,0,AL218/AL190*100)</f>
        <v>0</v>
      </c>
      <c r="AM204" s="1680">
        <f>IF(AM190=0,0,AM218/AM190*100)</f>
        <v>0</v>
      </c>
      <c r="AN204" s="1680">
        <f>IF(AN190=0,0,AN218/AN190*100)</f>
        <v>0</v>
      </c>
      <c r="AO204" s="1680">
        <f>IF(AO190=0,0,AO218/AO190*100)</f>
        <v>0</v>
      </c>
      <c r="AP204" s="1680">
        <f>IF(AP190=0,0,AP218/AP190*100)</f>
        <v>0</v>
      </c>
      <c r="AQ204" s="1680">
        <f>IF(AQ190=0,0,AQ218/AQ190*100)</f>
        <v>0</v>
      </c>
      <c r="AR204" s="1680">
        <f>IF(AR190=0,0,AR218/AR190*100)</f>
        <v>0</v>
      </c>
      <c r="AS204" s="280">
        <f>IF(AS190=0,0,AS218/AS190*100)</f>
        <v>0</v>
      </c>
      <c r="AT204" s="1664">
        <f>IF(AT190=0,0,AT218/AT190*100)</f>
        <v>0</v>
      </c>
      <c r="AU204" s="1664">
        <f>IF(AU190=0,0,AU218/AU190*100)</f>
        <v>0</v>
      </c>
      <c r="AV204" s="1680">
        <f>IF(AV190=0,0,AV218/AV190*100)</f>
        <v>0</v>
      </c>
      <c r="AW204" s="1680">
        <f>IF(AW190=0,0,AW218/AW190*100)</f>
        <v>0</v>
      </c>
      <c r="AX204" s="1680">
        <f>IF(AX190=0,0,AX218/AX190*100)</f>
        <v>0</v>
      </c>
      <c r="AY204" s="1680">
        <f>IF(AY190=0,0,AY218/AY190*100)</f>
        <v>0</v>
      </c>
      <c r="AZ204" s="1680">
        <f>IF(AZ190=0,0,AZ218/AZ190*100)</f>
        <v>0</v>
      </c>
      <c r="BA204" s="1680">
        <f>IF(BA190=0,0,BA218/BA190*100)</f>
        <v>0</v>
      </c>
      <c r="BB204" s="1680">
        <f>IF(BB190=0,0,BB218/BB190*100)</f>
        <v>0</v>
      </c>
      <c r="BC204" s="1792"/>
      <c r="BD204" s="935"/>
      <c r="BE204" s="935"/>
      <c r="BF204" s="1171" t="s">
        <v>1089</v>
      </c>
    </row>
    <row s="1642" customFormat="1" customHeight="1" ht="14.25">
      <c r="A205" s="1498"/>
      <c r="B205" s="925"/>
      <c r="C205" s="1498"/>
      <c r="D205" s="1498"/>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98"/>
      <c r="V205" s="1498"/>
      <c r="W205" s="1498"/>
      <c r="X205" s="1498"/>
      <c r="Y205" s="1498"/>
      <c r="Z205" s="1498"/>
      <c r="AA205" s="935"/>
      <c r="AB205" s="486" t="str">
        <f>AB201&amp;".4"</f>
        <v>6.4.4</v>
      </c>
      <c r="AC205" s="488" t="s">
        <v>1004</v>
      </c>
      <c r="AD205" s="486" t="s">
        <v>485</v>
      </c>
      <c r="AE205" s="1680">
        <f>IF(AE191=0,0,AE219/AE191*100)</f>
        <v>0</v>
      </c>
      <c r="AF205" s="1680">
        <f>IF(AF191=0,0,AF219/AF191*100)</f>
        <v>0</v>
      </c>
      <c r="AG205" s="1680">
        <f>IF(AG191=0,0,AG219/AG191*100)</f>
        <v>0</v>
      </c>
      <c r="AH205" s="1680">
        <f>IF(AH191=0,0,AH219/AH191*100)</f>
        <v>0</v>
      </c>
      <c r="AI205" s="280">
        <f>IF(AI191=0,0,AI219/AI191*100)</f>
        <v>0</v>
      </c>
      <c r="AJ205" s="1664">
        <f>IF(AJ191=0,0,AJ219/AJ191*100)</f>
        <v>0</v>
      </c>
      <c r="AK205" s="1664">
        <f>IF(AK191=0,0,AK219/AK191*100)</f>
        <v>0</v>
      </c>
      <c r="AL205" s="1680">
        <f>IF(AL191=0,0,AL219/AL191*100)</f>
        <v>0</v>
      </c>
      <c r="AM205" s="1680">
        <f>IF(AM191=0,0,AM219/AM191*100)</f>
        <v>0</v>
      </c>
      <c r="AN205" s="1680">
        <f>IF(AN191=0,0,AN219/AN191*100)</f>
        <v>0</v>
      </c>
      <c r="AO205" s="1680">
        <f>IF(AO191=0,0,AO219/AO191*100)</f>
        <v>0</v>
      </c>
      <c r="AP205" s="1680">
        <f>IF(AP191=0,0,AP219/AP191*100)</f>
        <v>0</v>
      </c>
      <c r="AQ205" s="1680">
        <f>IF(AQ191=0,0,AQ219/AQ191*100)</f>
        <v>0</v>
      </c>
      <c r="AR205" s="1680">
        <f>IF(AR191=0,0,AR219/AR191*100)</f>
        <v>0</v>
      </c>
      <c r="AS205" s="280">
        <f>IF(AS191=0,0,AS219/AS191*100)</f>
        <v>0</v>
      </c>
      <c r="AT205" s="1664">
        <f>IF(AT191=0,0,AT219/AT191*100)</f>
        <v>0</v>
      </c>
      <c r="AU205" s="1664">
        <f>IF(AU191=0,0,AU219/AU191*100)</f>
        <v>0</v>
      </c>
      <c r="AV205" s="1680">
        <f>IF(AV191=0,0,AV219/AV191*100)</f>
        <v>0</v>
      </c>
      <c r="AW205" s="1680">
        <f>IF(AW191=0,0,AW219/AW191*100)</f>
        <v>0</v>
      </c>
      <c r="AX205" s="1680">
        <f>IF(AX191=0,0,AX219/AX191*100)</f>
        <v>0</v>
      </c>
      <c r="AY205" s="1680">
        <f>IF(AY191=0,0,AY219/AY191*100)</f>
        <v>0</v>
      </c>
      <c r="AZ205" s="1680">
        <f>IF(AZ191=0,0,AZ219/AZ191*100)</f>
        <v>0</v>
      </c>
      <c r="BA205" s="1680">
        <f>IF(BA191=0,0,BA219/BA191*100)</f>
        <v>0</v>
      </c>
      <c r="BB205" s="1680">
        <f>IF(BB191=0,0,BB219/BB191*100)</f>
        <v>0</v>
      </c>
      <c r="BC205" s="1792"/>
      <c r="BD205" s="935"/>
      <c r="BE205" s="935"/>
      <c r="BF205" s="1171" t="s">
        <v>1090</v>
      </c>
    </row>
    <row s="1642" customFormat="1" customHeight="1" ht="14.25">
      <c r="A206" s="1498"/>
      <c r="B206" s="925"/>
      <c r="C206" s="1498"/>
      <c r="D206" s="1498"/>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98"/>
      <c r="V206" s="1498"/>
      <c r="W206" s="1498"/>
      <c r="X206" s="1498"/>
      <c r="Y206" s="1498"/>
      <c r="Z206" s="1498"/>
      <c r="AA206" s="935"/>
      <c r="AB206" s="486" t="str">
        <f>AB201&amp;".5"</f>
        <v>6.4.5</v>
      </c>
      <c r="AC206" s="488" t="s">
        <v>1007</v>
      </c>
      <c r="AD206" s="486" t="s">
        <v>485</v>
      </c>
      <c r="AE206" s="1680">
        <f>IF(AE192=0,0,AE220/AE192*100)</f>
        <v>0</v>
      </c>
      <c r="AF206" s="1680">
        <f>IF(AF192=0,0,AF220/AF192*100)</f>
        <v>0</v>
      </c>
      <c r="AG206" s="1680">
        <f>IF(AG192=0,0,AG220/AG192*100)</f>
        <v>0</v>
      </c>
      <c r="AH206" s="1680">
        <f>IF(AH192=0,0,AH220/AH192*100)</f>
        <v>0</v>
      </c>
      <c r="AI206" s="280">
        <f>IF(AI192=0,0,AI220/AI192*100)</f>
        <v>0</v>
      </c>
      <c r="AJ206" s="1664">
        <f>IF(AJ192=0,0,AJ220/AJ192*100)</f>
        <v>0</v>
      </c>
      <c r="AK206" s="1664">
        <f>IF(AK192=0,0,AK220/AK192*100)</f>
        <v>0</v>
      </c>
      <c r="AL206" s="1680">
        <f>IF(AL192=0,0,AL220/AL192*100)</f>
        <v>0</v>
      </c>
      <c r="AM206" s="1680">
        <f>IF(AM192=0,0,AM220/AM192*100)</f>
        <v>0</v>
      </c>
      <c r="AN206" s="1680">
        <f>IF(AN192=0,0,AN220/AN192*100)</f>
        <v>0</v>
      </c>
      <c r="AO206" s="1680">
        <f>IF(AO192=0,0,AO220/AO192*100)</f>
        <v>0</v>
      </c>
      <c r="AP206" s="1680">
        <f>IF(AP192=0,0,AP220/AP192*100)</f>
        <v>0</v>
      </c>
      <c r="AQ206" s="1680">
        <f>IF(AQ192=0,0,AQ220/AQ192*100)</f>
        <v>0</v>
      </c>
      <c r="AR206" s="1680">
        <f>IF(AR192=0,0,AR220/AR192*100)</f>
        <v>0</v>
      </c>
      <c r="AS206" s="280">
        <f>IF(AS192=0,0,AS220/AS192*100)</f>
        <v>0</v>
      </c>
      <c r="AT206" s="1664">
        <f>IF(AT192=0,0,AT220/AT192*100)</f>
        <v>0</v>
      </c>
      <c r="AU206" s="1664">
        <f>IF(AU192=0,0,AU220/AU192*100)</f>
        <v>0</v>
      </c>
      <c r="AV206" s="1680">
        <f>IF(AV192=0,0,AV220/AV192*100)</f>
        <v>0</v>
      </c>
      <c r="AW206" s="1680">
        <f>IF(AW192=0,0,AW220/AW192*100)</f>
        <v>0</v>
      </c>
      <c r="AX206" s="1680">
        <f>IF(AX192=0,0,AX220/AX192*100)</f>
        <v>0</v>
      </c>
      <c r="AY206" s="1680">
        <f>IF(AY192=0,0,AY220/AY192*100)</f>
        <v>0</v>
      </c>
      <c r="AZ206" s="1680">
        <f>IF(AZ192=0,0,AZ220/AZ192*100)</f>
        <v>0</v>
      </c>
      <c r="BA206" s="1680">
        <f>IF(BA192=0,0,BA220/BA192*100)</f>
        <v>0</v>
      </c>
      <c r="BB206" s="1680">
        <f>IF(BB192=0,0,BB220/BB192*100)</f>
        <v>0</v>
      </c>
      <c r="BC206" s="1792"/>
      <c r="BD206" s="935"/>
      <c r="BE206" s="935"/>
      <c r="BF206" s="1171" t="s">
        <v>1091</v>
      </c>
    </row>
    <row s="1642" customFormat="1" customHeight="1" ht="14.25">
      <c r="A207" s="1498"/>
      <c r="B207" s="925"/>
      <c r="C207" s="1498"/>
      <c r="D207" s="1498"/>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98"/>
      <c r="V207" s="1498"/>
      <c r="W207" s="1498"/>
      <c r="X207" s="1498"/>
      <c r="Y207" s="1498"/>
      <c r="Z207" s="1498"/>
      <c r="AA207" s="935"/>
      <c r="AB207" s="486" t="str">
        <f>AB197&amp;".5"</f>
        <v>6.5</v>
      </c>
      <c r="AC207" s="487" t="s">
        <v>1010</v>
      </c>
      <c r="AD207" s="486" t="s">
        <v>485</v>
      </c>
      <c r="AE207" s="1680">
        <f>IF(AE193=0,0,AE221/AE193*100)</f>
        <v>0</v>
      </c>
      <c r="AF207" s="1680">
        <f>IF(AF193=0,0,AF221/AF193*100)</f>
        <v>0</v>
      </c>
      <c r="AG207" s="1680">
        <f>IF(AG193=0,0,AG221/AG193*100)</f>
        <v>0</v>
      </c>
      <c r="AH207" s="1680">
        <f>IF(AH193=0,0,AH221/AH193*100)</f>
        <v>0</v>
      </c>
      <c r="AI207" s="280">
        <f>IF(AI193=0,0,AI221/AI193*100)</f>
        <v>0</v>
      </c>
      <c r="AJ207" s="1664">
        <f>IF(AJ193=0,0,AJ221/AJ193*100)</f>
        <v>0</v>
      </c>
      <c r="AK207" s="1664">
        <f>IF(AK193=0,0,AK221/AK193*100)</f>
        <v>0</v>
      </c>
      <c r="AL207" s="1680">
        <f>IF(AL193=0,0,AL221/AL193*100)</f>
        <v>0</v>
      </c>
      <c r="AM207" s="1680">
        <f>IF(AM193=0,0,AM221/AM193*100)</f>
        <v>0</v>
      </c>
      <c r="AN207" s="1680">
        <f>IF(AN193=0,0,AN221/AN193*100)</f>
        <v>0</v>
      </c>
      <c r="AO207" s="1680">
        <f>IF(AO193=0,0,AO221/AO193*100)</f>
        <v>0</v>
      </c>
      <c r="AP207" s="1680">
        <f>IF(AP193=0,0,AP221/AP193*100)</f>
        <v>0</v>
      </c>
      <c r="AQ207" s="1680">
        <f>IF(AQ193=0,0,AQ221/AQ193*100)</f>
        <v>0</v>
      </c>
      <c r="AR207" s="1680">
        <f>IF(AR193=0,0,AR221/AR193*100)</f>
        <v>0</v>
      </c>
      <c r="AS207" s="280">
        <f>IF(AS193=0,0,AS221/AS193*100)</f>
        <v>0</v>
      </c>
      <c r="AT207" s="1664">
        <f>IF(AT193=0,0,AT221/AT193*100)</f>
        <v>0</v>
      </c>
      <c r="AU207" s="1664">
        <f>IF(AU193=0,0,AU221/AU193*100)</f>
        <v>0</v>
      </c>
      <c r="AV207" s="1680">
        <f>IF(AV193=0,0,AV221/AV193*100)</f>
        <v>0</v>
      </c>
      <c r="AW207" s="1680">
        <f>IF(AW193=0,0,AW221/AW193*100)</f>
        <v>0</v>
      </c>
      <c r="AX207" s="1680">
        <f>IF(AX193=0,0,AX221/AX193*100)</f>
        <v>0</v>
      </c>
      <c r="AY207" s="1680">
        <f>IF(AY193=0,0,AY221/AY193*100)</f>
        <v>0</v>
      </c>
      <c r="AZ207" s="1680">
        <f>IF(AZ193=0,0,AZ221/AZ193*100)</f>
        <v>0</v>
      </c>
      <c r="BA207" s="1680">
        <f>IF(BA193=0,0,BA221/BA193*100)</f>
        <v>0</v>
      </c>
      <c r="BB207" s="1680">
        <f>IF(BB193=0,0,BB221/BB193*100)</f>
        <v>0</v>
      </c>
      <c r="BC207" s="1792"/>
      <c r="BD207" s="935"/>
      <c r="BE207" s="935"/>
      <c r="BF207" s="1171" t="s">
        <v>1092</v>
      </c>
    </row>
    <row s="1642" customFormat="1" customHeight="1" ht="14.25">
      <c r="A208" s="1498"/>
      <c r="B208" s="925"/>
      <c r="C208" s="1498"/>
      <c r="D208" s="1498"/>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98"/>
      <c r="V208" s="1498"/>
      <c r="W208" s="1498"/>
      <c r="X208" s="1498"/>
      <c r="Y208" s="1498"/>
      <c r="Z208" s="1498"/>
      <c r="AA208" s="935"/>
      <c r="AB208" s="486" t="str">
        <f>AB197&amp;".6"</f>
        <v>6.6</v>
      </c>
      <c r="AC208" s="487" t="s">
        <v>1013</v>
      </c>
      <c r="AD208" s="486" t="s">
        <v>485</v>
      </c>
      <c r="AE208" s="1680">
        <f>IF(AE194=0,0,AE222/AE194*100)</f>
        <v>0</v>
      </c>
      <c r="AF208" s="1680">
        <f>IF(AF194=0,0,AF222/AF194*100)</f>
        <v>0</v>
      </c>
      <c r="AG208" s="1680">
        <f>IF(AG194=0,0,AG222/AG194*100)</f>
        <v>0</v>
      </c>
      <c r="AH208" s="1680">
        <f>IF(AH194=0,0,AH222/AH194*100)</f>
        <v>0</v>
      </c>
      <c r="AI208" s="280">
        <f>IF(AI194=0,0,AI222/AI194*100)</f>
        <v>0</v>
      </c>
      <c r="AJ208" s="1664">
        <f>IF(AJ194=0,0,AJ222/AJ194*100)</f>
        <v>0</v>
      </c>
      <c r="AK208" s="1664">
        <f>IF(AK194=0,0,AK222/AK194*100)</f>
        <v>0</v>
      </c>
      <c r="AL208" s="1680">
        <f>IF(AL194=0,0,AL222/AL194*100)</f>
        <v>0</v>
      </c>
      <c r="AM208" s="1680">
        <f>IF(AM194=0,0,AM222/AM194*100)</f>
        <v>0</v>
      </c>
      <c r="AN208" s="1680">
        <f>IF(AN194=0,0,AN222/AN194*100)</f>
        <v>0</v>
      </c>
      <c r="AO208" s="1680">
        <f>IF(AO194=0,0,AO222/AO194*100)</f>
        <v>0</v>
      </c>
      <c r="AP208" s="1680">
        <f>IF(AP194=0,0,AP222/AP194*100)</f>
        <v>0</v>
      </c>
      <c r="AQ208" s="1680">
        <f>IF(AQ194=0,0,AQ222/AQ194*100)</f>
        <v>0</v>
      </c>
      <c r="AR208" s="1680">
        <f>IF(AR194=0,0,AR222/AR194*100)</f>
        <v>0</v>
      </c>
      <c r="AS208" s="280">
        <f>IF(AS194=0,0,AS222/AS194*100)</f>
        <v>0</v>
      </c>
      <c r="AT208" s="1664">
        <f>IF(AT194=0,0,AT222/AT194*100)</f>
        <v>0</v>
      </c>
      <c r="AU208" s="1664">
        <f>IF(AU194=0,0,AU222/AU194*100)</f>
        <v>0</v>
      </c>
      <c r="AV208" s="1680">
        <f>IF(AV194=0,0,AV222/AV194*100)</f>
        <v>0</v>
      </c>
      <c r="AW208" s="1680">
        <f>IF(AW194=0,0,AW222/AW194*100)</f>
        <v>0</v>
      </c>
      <c r="AX208" s="1680">
        <f>IF(AX194=0,0,AX222/AX194*100)</f>
        <v>0</v>
      </c>
      <c r="AY208" s="1680">
        <f>IF(AY194=0,0,AY222/AY194*100)</f>
        <v>0</v>
      </c>
      <c r="AZ208" s="1680">
        <f>IF(AZ194=0,0,AZ222/AZ194*100)</f>
        <v>0</v>
      </c>
      <c r="BA208" s="1680">
        <f>IF(BA194=0,0,BA222/BA194*100)</f>
        <v>0</v>
      </c>
      <c r="BB208" s="1680">
        <f>IF(BB194=0,0,BB222/BB194*100)</f>
        <v>0</v>
      </c>
      <c r="BC208" s="1792"/>
      <c r="BD208" s="935"/>
      <c r="BE208" s="935"/>
      <c r="BF208" s="1171" t="s">
        <v>1093</v>
      </c>
    </row>
    <row s="1642" customFormat="1" customHeight="1" ht="14.25">
      <c r="A209" s="1498"/>
      <c r="B209" s="925"/>
      <c r="C209" s="1498"/>
      <c r="D209" s="1498"/>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98"/>
      <c r="V209" s="1498"/>
      <c r="W209" s="1498"/>
      <c r="X209" s="1498"/>
      <c r="Y209" s="1498"/>
      <c r="Z209" s="1498"/>
      <c r="AA209" s="935"/>
      <c r="AB209" s="486" t="str">
        <f>AB197&amp;".7"</f>
        <v>6.7</v>
      </c>
      <c r="AC209" s="487" t="s">
        <v>1016</v>
      </c>
      <c r="AD209" s="486" t="s">
        <v>485</v>
      </c>
      <c r="AE209" s="1680">
        <f>IF(AE195=0,0,AE223/AE195*100)</f>
        <v>0</v>
      </c>
      <c r="AF209" s="1680">
        <f>IF(AF195=0,0,AF223/AF195*100)</f>
        <v>0</v>
      </c>
      <c r="AG209" s="1680">
        <f>IF(AG195=0,0,AG223/AG195*100)</f>
        <v>0</v>
      </c>
      <c r="AH209" s="1680">
        <f>IF(AH195=0,0,AH223/AH195*100)</f>
        <v>0</v>
      </c>
      <c r="AI209" s="280">
        <f>IF(AI195=0,0,AI223/AI195*100)</f>
        <v>0</v>
      </c>
      <c r="AJ209" s="1664">
        <f>IF(AJ195=0,0,AJ223/AJ195*100)</f>
        <v>0</v>
      </c>
      <c r="AK209" s="1664">
        <f>IF(AK195=0,0,AK223/AK195*100)</f>
        <v>0</v>
      </c>
      <c r="AL209" s="1680">
        <f>IF(AL195=0,0,AL223/AL195*100)</f>
        <v>0</v>
      </c>
      <c r="AM209" s="1680">
        <f>IF(AM195=0,0,AM223/AM195*100)</f>
        <v>0</v>
      </c>
      <c r="AN209" s="1680">
        <f>IF(AN195=0,0,AN223/AN195*100)</f>
        <v>0</v>
      </c>
      <c r="AO209" s="1680">
        <f>IF(AO195=0,0,AO223/AO195*100)</f>
        <v>0</v>
      </c>
      <c r="AP209" s="1680">
        <f>IF(AP195=0,0,AP223/AP195*100)</f>
        <v>0</v>
      </c>
      <c r="AQ209" s="1680">
        <f>IF(AQ195=0,0,AQ223/AQ195*100)</f>
        <v>0</v>
      </c>
      <c r="AR209" s="1680">
        <f>IF(AR195=0,0,AR223/AR195*100)</f>
        <v>0</v>
      </c>
      <c r="AS209" s="280">
        <f>IF(AS195=0,0,AS223/AS195*100)</f>
        <v>0</v>
      </c>
      <c r="AT209" s="1664">
        <f>IF(AT195=0,0,AT223/AT195*100)</f>
        <v>0</v>
      </c>
      <c r="AU209" s="1664">
        <f>IF(AU195=0,0,AU223/AU195*100)</f>
        <v>0</v>
      </c>
      <c r="AV209" s="1680">
        <f>IF(AV195=0,0,AV223/AV195*100)</f>
        <v>0</v>
      </c>
      <c r="AW209" s="1680">
        <f>IF(AW195=0,0,AW223/AW195*100)</f>
        <v>0</v>
      </c>
      <c r="AX209" s="1680">
        <f>IF(AX195=0,0,AX223/AX195*100)</f>
        <v>0</v>
      </c>
      <c r="AY209" s="1680">
        <f>IF(AY195=0,0,AY223/AY195*100)</f>
        <v>0</v>
      </c>
      <c r="AZ209" s="1680">
        <f>IF(AZ195=0,0,AZ223/AZ195*100)</f>
        <v>0</v>
      </c>
      <c r="BA209" s="1680">
        <f>IF(BA195=0,0,BA223/BA195*100)</f>
        <v>0</v>
      </c>
      <c r="BB209" s="1680">
        <f>IF(BB195=0,0,BB223/BB195*100)</f>
        <v>0</v>
      </c>
      <c r="BC209" s="1792"/>
      <c r="BD209" s="935"/>
      <c r="BE209" s="935"/>
      <c r="BF209" s="1171" t="s">
        <v>1094</v>
      </c>
    </row>
    <row s="1642" customFormat="1" customHeight="1" ht="14.25">
      <c r="A210" s="1498"/>
      <c r="B210" s="925"/>
      <c r="C210" s="1498"/>
      <c r="D210" s="1498"/>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98"/>
      <c r="V210" s="1498"/>
      <c r="W210" s="1498"/>
      <c r="X210" s="1498"/>
      <c r="Y210" s="1498"/>
      <c r="Z210" s="1498"/>
      <c r="AA210" s="935"/>
      <c r="AB210" s="486" t="str">
        <f>AB197&amp;".8"</f>
        <v>6.8</v>
      </c>
      <c r="AC210" s="487" t="s">
        <v>1019</v>
      </c>
      <c r="AD210" s="486" t="s">
        <v>485</v>
      </c>
      <c r="AE210" s="1680">
        <f>IF(AE196=0,0,AE224/AE196*100)</f>
        <v>0</v>
      </c>
      <c r="AF210" s="1680">
        <f>IF(AF196=0,0,AF224/AF196*100)</f>
        <v>0</v>
      </c>
      <c r="AG210" s="1680">
        <f>IF(AG196=0,0,AG224/AG196*100)</f>
        <v>0</v>
      </c>
      <c r="AH210" s="1680">
        <f>IF(AH196=0,0,AH224/AH196*100)</f>
        <v>0</v>
      </c>
      <c r="AI210" s="280">
        <f>IF(AI196=0,0,AI224/AI196*100)</f>
        <v>0</v>
      </c>
      <c r="AJ210" s="1664">
        <f>IF(AJ196=0,0,AJ224/AJ196*100)</f>
        <v>0</v>
      </c>
      <c r="AK210" s="1664">
        <f>IF(AK196=0,0,AK224/AK196*100)</f>
        <v>0</v>
      </c>
      <c r="AL210" s="1680">
        <f>IF(AL196=0,0,AL224/AL196*100)</f>
        <v>0</v>
      </c>
      <c r="AM210" s="1680">
        <f>IF(AM196=0,0,AM224/AM196*100)</f>
        <v>0</v>
      </c>
      <c r="AN210" s="1680">
        <f>IF(AN196=0,0,AN224/AN196*100)</f>
        <v>0</v>
      </c>
      <c r="AO210" s="1680">
        <f>IF(AO196=0,0,AO224/AO196*100)</f>
        <v>0</v>
      </c>
      <c r="AP210" s="1680">
        <f>IF(AP196=0,0,AP224/AP196*100)</f>
        <v>0</v>
      </c>
      <c r="AQ210" s="1680">
        <f>IF(AQ196=0,0,AQ224/AQ196*100)</f>
        <v>0</v>
      </c>
      <c r="AR210" s="1680">
        <f>IF(AR196=0,0,AR224/AR196*100)</f>
        <v>0</v>
      </c>
      <c r="AS210" s="280">
        <f>IF(AS196=0,0,AS224/AS196*100)</f>
        <v>0</v>
      </c>
      <c r="AT210" s="1664">
        <f>IF(AT196=0,0,AT224/AT196*100)</f>
        <v>0</v>
      </c>
      <c r="AU210" s="1664">
        <f>IF(AU196=0,0,AU224/AU196*100)</f>
        <v>0</v>
      </c>
      <c r="AV210" s="1680">
        <f>IF(AV196=0,0,AV224/AV196*100)</f>
        <v>0</v>
      </c>
      <c r="AW210" s="1680">
        <f>IF(AW196=0,0,AW224/AW196*100)</f>
        <v>0</v>
      </c>
      <c r="AX210" s="1680">
        <f>IF(AX196=0,0,AX224/AX196*100)</f>
        <v>0</v>
      </c>
      <c r="AY210" s="1680">
        <f>IF(AY196=0,0,AY224/AY196*100)</f>
        <v>0</v>
      </c>
      <c r="AZ210" s="1680">
        <f>IF(AZ196=0,0,AZ224/AZ196*100)</f>
        <v>0</v>
      </c>
      <c r="BA210" s="1680">
        <f>IF(BA196=0,0,BA224/BA196*100)</f>
        <v>0</v>
      </c>
      <c r="BB210" s="1680">
        <f>IF(BB196=0,0,BB224/BB196*100)</f>
        <v>0</v>
      </c>
      <c r="BC210" s="1792"/>
      <c r="BD210" s="935"/>
      <c r="BE210" s="935"/>
      <c r="BF210" s="1171" t="s">
        <v>1095</v>
      </c>
    </row>
    <row s="214" customFormat="1" customHeight="1" ht="14.25">
      <c r="A211" s="214"/>
      <c r="B211" s="214"/>
      <c r="C211" s="214"/>
      <c r="D211" s="214"/>
      <c r="E211" s="794">
        <v>15</v>
      </c>
      <c r="F211" s="920" cm="1" t="str">
        <f t="array" ref="F211:F211">F210</f>
        <v>1</v>
      </c>
      <c r="G211" s="736" t="s">
        <v>1096</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1097</v>
      </c>
      <c r="AD211" s="153" t="s">
        <v>799</v>
      </c>
      <c r="AE211" s="1863">
        <f>SUM(AE212:AE215)+SUM(AE221:AE224)</f>
        <v>2250.23</v>
      </c>
      <c r="AF211" s="1863">
        <f>SUM(AF212:AF215)+SUM(AF221:AF224)</f>
        <v>18621.95</v>
      </c>
      <c r="AG211" s="1863">
        <f>SUM(AG212:AG215)+SUM(AG221:AG224)</f>
        <v>2250.23</v>
      </c>
      <c r="AH211" s="1863">
        <f>SUM(AH212:AH215)+SUM(AH221:AH224)</f>
        <v>2247.6</v>
      </c>
      <c r="AI211" s="292">
        <v>6278.18886999999</v>
      </c>
      <c r="AJ211" s="1848">
        <f>SUM(AJ212:AJ215)+SUM(AJ221:AJ224)</f>
        <v>0</v>
      </c>
      <c r="AK211" s="1848">
        <f>SUM(AK212:AK215)+SUM(AK221:AK224)</f>
        <v>0</v>
      </c>
      <c r="AL211" s="1863">
        <f>SUM(AL212:AL215)+SUM(AL221:AL224)</f>
        <v>0</v>
      </c>
      <c r="AM211" s="1863">
        <f>SUM(AM212:AM215)+SUM(AM221:AM224)</f>
        <v>0</v>
      </c>
      <c r="AN211" s="1863">
        <f>SUM(AN212:AN215)+SUM(AN221:AN224)</f>
        <v>0</v>
      </c>
      <c r="AO211" s="1863">
        <f>SUM(AO212:AO215)+SUM(AO221:AO224)</f>
        <v>0</v>
      </c>
      <c r="AP211" s="1863">
        <f>SUM(AP212:AP215)+SUM(AP221:AP224)</f>
        <v>0</v>
      </c>
      <c r="AQ211" s="1863">
        <f>SUM(AQ212:AQ215)+SUM(AQ221:AQ224)</f>
        <v>0</v>
      </c>
      <c r="AR211" s="1863">
        <f>SUM(AR212:AR215)+SUM(AR221:AR224)</f>
        <v>0</v>
      </c>
      <c r="AS211" s="292">
        <v>2238.53</v>
      </c>
      <c r="AT211" s="1848">
        <f>SUM(AT212:AT215)+SUM(AT221:AT224)</f>
        <v>0</v>
      </c>
      <c r="AU211" s="1848">
        <f>SUM(AU212:AU215)+SUM(AU221:AU224)</f>
        <v>0</v>
      </c>
      <c r="AV211" s="1863">
        <f>SUM(AV212:AV215)+SUM(AV221:AV224)</f>
        <v>0</v>
      </c>
      <c r="AW211" s="1863">
        <f>SUM(AW212:AW215)+SUM(AW221:AW224)</f>
        <v>0</v>
      </c>
      <c r="AX211" s="1863">
        <f>SUM(AX212:AX215)+SUM(AX221:AX224)</f>
        <v>0</v>
      </c>
      <c r="AY211" s="1863">
        <f>SUM(AY212:AY215)+SUM(AY221:AY224)</f>
        <v>0</v>
      </c>
      <c r="AZ211" s="1863">
        <f>SUM(AZ212:AZ215)+SUM(AZ221:AZ224)</f>
        <v>0</v>
      </c>
      <c r="BA211" s="1863">
        <f>SUM(BA212:BA215)+SUM(BA221:BA224)</f>
        <v>0</v>
      </c>
      <c r="BB211" s="1863">
        <f>SUM(BB212:BB215)+SUM(BB221:BB224)</f>
        <v>0</v>
      </c>
      <c r="BC211" s="1792"/>
      <c r="BD211" s="214"/>
      <c r="BE211" s="214"/>
      <c r="BF211" s="1171" t="s">
        <v>1098</v>
      </c>
    </row>
    <row s="1642" customFormat="1" customHeight="1" ht="14.25">
      <c r="A212" s="1498"/>
      <c r="B212" s="925"/>
      <c r="C212" s="1498"/>
      <c r="D212" s="1498"/>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98"/>
      <c r="V212" s="1498"/>
      <c r="W212" s="1498"/>
      <c r="X212" s="1498"/>
      <c r="Y212" s="1498"/>
      <c r="Z212" s="1498"/>
      <c r="AA212" s="935"/>
      <c r="AB212" s="486" t="str">
        <f>AB211&amp;".1"</f>
        <v>7.1</v>
      </c>
      <c r="AC212" s="487" t="s">
        <v>985</v>
      </c>
      <c r="AD212" s="486" t="s">
        <v>986</v>
      </c>
      <c r="AE212" s="1680"/>
      <c r="AF212" s="1680"/>
      <c r="AG212" s="1680"/>
      <c r="AH212" s="1680"/>
      <c r="AI212" s="280"/>
      <c r="AJ212" s="1664"/>
      <c r="AK212" s="1664"/>
      <c r="AL212" s="1680"/>
      <c r="AM212" s="1680"/>
      <c r="AN212" s="1680"/>
      <c r="AO212" s="1680"/>
      <c r="AP212" s="1680"/>
      <c r="AQ212" s="1680"/>
      <c r="AR212" s="1680"/>
      <c r="AS212" s="280"/>
      <c r="AT212" s="1664"/>
      <c r="AU212" s="1664"/>
      <c r="AV212" s="1680"/>
      <c r="AW212" s="1680"/>
      <c r="AX212" s="1680"/>
      <c r="AY212" s="1680"/>
      <c r="AZ212" s="1680"/>
      <c r="BA212" s="1680"/>
      <c r="BB212" s="1680"/>
      <c r="BC212" s="1792"/>
      <c r="BD212" s="935"/>
      <c r="BE212" s="935"/>
      <c r="BF212" s="1171" t="s">
        <v>1099</v>
      </c>
    </row>
    <row s="1642" customFormat="1" customHeight="1" ht="14.25">
      <c r="A213" s="1498"/>
      <c r="B213" s="925"/>
      <c r="C213" s="1498"/>
      <c r="D213" s="1498"/>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98"/>
      <c r="V213" s="1498"/>
      <c r="W213" s="1498"/>
      <c r="X213" s="1498"/>
      <c r="Y213" s="1498"/>
      <c r="Z213" s="1498"/>
      <c r="AA213" s="935"/>
      <c r="AB213" s="486" t="str">
        <f>AB211&amp;".2"</f>
        <v>7.2</v>
      </c>
      <c r="AC213" s="487" t="s">
        <v>988</v>
      </c>
      <c r="AD213" s="486" t="s">
        <v>986</v>
      </c>
      <c r="AE213" s="1680">
        <v>2250.23</v>
      </c>
      <c r="AF213" s="1680">
        <v>18621.95</v>
      </c>
      <c r="AG213" s="1680" cm="1" t="str">
        <f t="array" ref="AG213:AG213">AE213</f>
        <v>2250.23</v>
      </c>
      <c r="AH213" s="1680">
        <v>2247.6</v>
      </c>
      <c r="AI213" s="280">
        <v>6278.18886999999</v>
      </c>
      <c r="AJ213" s="1664"/>
      <c r="AK213" s="1664"/>
      <c r="AL213" s="1680"/>
      <c r="AM213" s="1680"/>
      <c r="AN213" s="1680"/>
      <c r="AO213" s="1680"/>
      <c r="AP213" s="1680"/>
      <c r="AQ213" s="1680"/>
      <c r="AR213" s="1680"/>
      <c r="AS213" s="280">
        <v>2238.5348</v>
      </c>
      <c r="AT213" s="1664"/>
      <c r="AU213" s="1664"/>
      <c r="AV213" s="1680"/>
      <c r="AW213" s="1680"/>
      <c r="AX213" s="1680"/>
      <c r="AY213" s="1680"/>
      <c r="AZ213" s="1680"/>
      <c r="BA213" s="1680"/>
      <c r="BB213" s="1680"/>
      <c r="BC213" s="1792"/>
      <c r="BD213" s="935"/>
      <c r="BE213" s="935"/>
      <c r="BF213" s="1171" t="s">
        <v>1100</v>
      </c>
    </row>
    <row s="1642" customFormat="1" customHeight="1" ht="14.25">
      <c r="A214" s="1498"/>
      <c r="B214" s="925"/>
      <c r="C214" s="1498"/>
      <c r="D214" s="1498"/>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98"/>
      <c r="V214" s="1498"/>
      <c r="W214" s="1498"/>
      <c r="X214" s="1498"/>
      <c r="Y214" s="1498"/>
      <c r="Z214" s="1498"/>
      <c r="AA214" s="935"/>
      <c r="AB214" s="486" t="str">
        <f>AB211&amp;".3"</f>
        <v>7.3</v>
      </c>
      <c r="AC214" s="487" t="s">
        <v>990</v>
      </c>
      <c r="AD214" s="486" t="s">
        <v>986</v>
      </c>
      <c r="AE214" s="1680"/>
      <c r="AF214" s="1680"/>
      <c r="AG214" s="1680"/>
      <c r="AH214" s="1680"/>
      <c r="AI214" s="280"/>
      <c r="AJ214" s="1664"/>
      <c r="AK214" s="1664"/>
      <c r="AL214" s="1680"/>
      <c r="AM214" s="1680"/>
      <c r="AN214" s="1680"/>
      <c r="AO214" s="1680"/>
      <c r="AP214" s="1680"/>
      <c r="AQ214" s="1680"/>
      <c r="AR214" s="1680"/>
      <c r="AS214" s="280"/>
      <c r="AT214" s="1664"/>
      <c r="AU214" s="1664"/>
      <c r="AV214" s="1680"/>
      <c r="AW214" s="1680"/>
      <c r="AX214" s="1680"/>
      <c r="AY214" s="1680"/>
      <c r="AZ214" s="1680"/>
      <c r="BA214" s="1680"/>
      <c r="BB214" s="1680"/>
      <c r="BC214" s="1792"/>
      <c r="BD214" s="935"/>
      <c r="BE214" s="935"/>
      <c r="BF214" s="1171" t="s">
        <v>1101</v>
      </c>
    </row>
    <row s="1642" customFormat="1" customHeight="1" ht="14.25">
      <c r="A215" s="1498"/>
      <c r="B215" s="925"/>
      <c r="C215" s="1498"/>
      <c r="D215" s="1498"/>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98"/>
      <c r="V215" s="1498"/>
      <c r="W215" s="1498"/>
      <c r="X215" s="1498"/>
      <c r="Y215" s="1498"/>
      <c r="Z215" s="1498"/>
      <c r="AA215" s="935"/>
      <c r="AB215" s="486" t="str">
        <f>AB211&amp;".4"</f>
        <v>7.4</v>
      </c>
      <c r="AC215" s="487" t="s">
        <v>992</v>
      </c>
      <c r="AD215" s="486" t="s">
        <v>986</v>
      </c>
      <c r="AE215" s="1793">
        <f>SUM(AE216:AE220)</f>
        <v>0</v>
      </c>
      <c r="AF215" s="1793">
        <f>SUM(AF216:AF220)</f>
        <v>0</v>
      </c>
      <c r="AG215" s="1793">
        <f>SUM(AG216:AG220)</f>
        <v>0</v>
      </c>
      <c r="AH215" s="1793">
        <f>SUM(AH216:AH220)</f>
        <v>0</v>
      </c>
      <c r="AI215" s="481">
        <f>SUM(AI216:AI220)</f>
        <v>0</v>
      </c>
      <c r="AJ215" s="1787">
        <f>SUM(AJ216:AJ220)</f>
        <v>0</v>
      </c>
      <c r="AK215" s="1787">
        <f>SUM(AK216:AK220)</f>
        <v>0</v>
      </c>
      <c r="AL215" s="1793">
        <f>SUM(AL216:AL220)</f>
        <v>0</v>
      </c>
      <c r="AM215" s="1793">
        <f>SUM(AM216:AM220)</f>
        <v>0</v>
      </c>
      <c r="AN215" s="1793">
        <f>SUM(AN216:AN220)</f>
        <v>0</v>
      </c>
      <c r="AO215" s="1793">
        <f>SUM(AO216:AO220)</f>
        <v>0</v>
      </c>
      <c r="AP215" s="1793">
        <f>SUM(AP216:AP220)</f>
        <v>0</v>
      </c>
      <c r="AQ215" s="1793">
        <f>SUM(AQ216:AQ220)</f>
        <v>0</v>
      </c>
      <c r="AR215" s="1793">
        <f>SUM(AR216:AR220)</f>
        <v>0</v>
      </c>
      <c r="AS215" s="481">
        <f>SUM(AS216:AS220)</f>
        <v>0</v>
      </c>
      <c r="AT215" s="1787">
        <f>SUM(AT216:AT220)</f>
        <v>0</v>
      </c>
      <c r="AU215" s="1787">
        <f>SUM(AU216:AU220)</f>
        <v>0</v>
      </c>
      <c r="AV215" s="1793">
        <f>SUM(AV216:AV220)</f>
        <v>0</v>
      </c>
      <c r="AW215" s="1793">
        <f>SUM(AW216:AW220)</f>
        <v>0</v>
      </c>
      <c r="AX215" s="1793">
        <f>SUM(AX216:AX220)</f>
        <v>0</v>
      </c>
      <c r="AY215" s="1793">
        <f>SUM(AY216:AY220)</f>
        <v>0</v>
      </c>
      <c r="AZ215" s="1793">
        <f>SUM(AZ216:AZ220)</f>
        <v>0</v>
      </c>
      <c r="BA215" s="1793">
        <f>SUM(BA216:BA220)</f>
        <v>0</v>
      </c>
      <c r="BB215" s="1793">
        <f>SUM(BB216:BB220)</f>
        <v>0</v>
      </c>
      <c r="BC215" s="1792"/>
      <c r="BD215" s="935"/>
      <c r="BE215" s="935"/>
      <c r="BF215" s="1171" t="s">
        <v>1102</v>
      </c>
    </row>
    <row s="1642" customFormat="1" customHeight="1" ht="14.25">
      <c r="A216" s="1498"/>
      <c r="B216" s="925"/>
      <c r="C216" s="1498"/>
      <c r="D216" s="1498"/>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98"/>
      <c r="V216" s="1498"/>
      <c r="W216" s="1498"/>
      <c r="X216" s="1498"/>
      <c r="Y216" s="1498"/>
      <c r="Z216" s="1498"/>
      <c r="AA216" s="935"/>
      <c r="AB216" s="486" t="str">
        <f>AB215&amp;".1"</f>
        <v>7.4.1</v>
      </c>
      <c r="AC216" s="488" t="s">
        <v>995</v>
      </c>
      <c r="AD216" s="486" t="s">
        <v>986</v>
      </c>
      <c r="AE216" s="1680"/>
      <c r="AF216" s="1680"/>
      <c r="AG216" s="1680"/>
      <c r="AH216" s="1680"/>
      <c r="AI216" s="280"/>
      <c r="AJ216" s="1664"/>
      <c r="AK216" s="1664"/>
      <c r="AL216" s="1680"/>
      <c r="AM216" s="1680"/>
      <c r="AN216" s="1680"/>
      <c r="AO216" s="1680"/>
      <c r="AP216" s="1680"/>
      <c r="AQ216" s="1680"/>
      <c r="AR216" s="1680"/>
      <c r="AS216" s="280"/>
      <c r="AT216" s="1664"/>
      <c r="AU216" s="1664"/>
      <c r="AV216" s="1680"/>
      <c r="AW216" s="1680"/>
      <c r="AX216" s="1680"/>
      <c r="AY216" s="1680"/>
      <c r="AZ216" s="1680"/>
      <c r="BA216" s="1680"/>
      <c r="BB216" s="1680"/>
      <c r="BC216" s="1792"/>
      <c r="BD216" s="935"/>
      <c r="BE216" s="935"/>
      <c r="BF216" s="1171" t="s">
        <v>1103</v>
      </c>
    </row>
    <row s="1642" customFormat="1" customHeight="1" ht="14.25">
      <c r="A217" s="1498"/>
      <c r="B217" s="925"/>
      <c r="C217" s="1498"/>
      <c r="D217" s="1498"/>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98"/>
      <c r="V217" s="1498"/>
      <c r="W217" s="1498"/>
      <c r="X217" s="1498"/>
      <c r="Y217" s="1498"/>
      <c r="Z217" s="1498"/>
      <c r="AA217" s="935"/>
      <c r="AB217" s="486" t="str">
        <f>AB215&amp;".2"</f>
        <v>7.4.2</v>
      </c>
      <c r="AC217" s="488" t="s">
        <v>998</v>
      </c>
      <c r="AD217" s="486" t="s">
        <v>986</v>
      </c>
      <c r="AE217" s="1680"/>
      <c r="AF217" s="1680"/>
      <c r="AG217" s="1680"/>
      <c r="AH217" s="1680"/>
      <c r="AI217" s="280"/>
      <c r="AJ217" s="1664"/>
      <c r="AK217" s="1664"/>
      <c r="AL217" s="1680"/>
      <c r="AM217" s="1680"/>
      <c r="AN217" s="1680"/>
      <c r="AO217" s="1680"/>
      <c r="AP217" s="1680"/>
      <c r="AQ217" s="1680"/>
      <c r="AR217" s="1680"/>
      <c r="AS217" s="280"/>
      <c r="AT217" s="1664"/>
      <c r="AU217" s="1664"/>
      <c r="AV217" s="1680"/>
      <c r="AW217" s="1680"/>
      <c r="AX217" s="1680"/>
      <c r="AY217" s="1680"/>
      <c r="AZ217" s="1680"/>
      <c r="BA217" s="1680"/>
      <c r="BB217" s="1680"/>
      <c r="BC217" s="1792"/>
      <c r="BD217" s="935"/>
      <c r="BE217" s="935"/>
      <c r="BF217" s="1171" t="s">
        <v>1104</v>
      </c>
    </row>
    <row s="1642" customFormat="1" customHeight="1" ht="14.25">
      <c r="A218" s="1498"/>
      <c r="B218" s="925"/>
      <c r="C218" s="1498"/>
      <c r="D218" s="1498"/>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98"/>
      <c r="V218" s="1498"/>
      <c r="W218" s="1498"/>
      <c r="X218" s="1498"/>
      <c r="Y218" s="1498"/>
      <c r="Z218" s="1498"/>
      <c r="AA218" s="935"/>
      <c r="AB218" s="486" t="str">
        <f>AB215&amp;".3"</f>
        <v>7.4.3</v>
      </c>
      <c r="AC218" s="488" t="s">
        <v>1001</v>
      </c>
      <c r="AD218" s="486" t="s">
        <v>986</v>
      </c>
      <c r="AE218" s="1680"/>
      <c r="AF218" s="1680"/>
      <c r="AG218" s="1680"/>
      <c r="AH218" s="1680"/>
      <c r="AI218" s="280"/>
      <c r="AJ218" s="1664"/>
      <c r="AK218" s="1664"/>
      <c r="AL218" s="1680"/>
      <c r="AM218" s="1680"/>
      <c r="AN218" s="1680"/>
      <c r="AO218" s="1680"/>
      <c r="AP218" s="1680"/>
      <c r="AQ218" s="1680"/>
      <c r="AR218" s="1680"/>
      <c r="AS218" s="280"/>
      <c r="AT218" s="1664"/>
      <c r="AU218" s="1664"/>
      <c r="AV218" s="1680"/>
      <c r="AW218" s="1680"/>
      <c r="AX218" s="1680"/>
      <c r="AY218" s="1680"/>
      <c r="AZ218" s="1680"/>
      <c r="BA218" s="1680"/>
      <c r="BB218" s="1680"/>
      <c r="BC218" s="1792"/>
      <c r="BD218" s="935"/>
      <c r="BE218" s="935"/>
      <c r="BF218" s="1171" t="s">
        <v>1105</v>
      </c>
    </row>
    <row s="1642" customFormat="1" customHeight="1" ht="14.25">
      <c r="A219" s="1498"/>
      <c r="B219" s="925"/>
      <c r="C219" s="1498"/>
      <c r="D219" s="1498"/>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98"/>
      <c r="V219" s="1498"/>
      <c r="W219" s="1498"/>
      <c r="X219" s="1498"/>
      <c r="Y219" s="1498"/>
      <c r="Z219" s="1498"/>
      <c r="AA219" s="935"/>
      <c r="AB219" s="486" t="str">
        <f>AB215&amp;".4"</f>
        <v>7.4.4</v>
      </c>
      <c r="AC219" s="488" t="s">
        <v>1004</v>
      </c>
      <c r="AD219" s="486" t="s">
        <v>986</v>
      </c>
      <c r="AE219" s="1680"/>
      <c r="AF219" s="1680"/>
      <c r="AG219" s="1680"/>
      <c r="AH219" s="1680"/>
      <c r="AI219" s="280"/>
      <c r="AJ219" s="1664"/>
      <c r="AK219" s="1664"/>
      <c r="AL219" s="1680"/>
      <c r="AM219" s="1680"/>
      <c r="AN219" s="1680"/>
      <c r="AO219" s="1680"/>
      <c r="AP219" s="1680"/>
      <c r="AQ219" s="1680"/>
      <c r="AR219" s="1680"/>
      <c r="AS219" s="280"/>
      <c r="AT219" s="1664"/>
      <c r="AU219" s="1664"/>
      <c r="AV219" s="1680"/>
      <c r="AW219" s="1680"/>
      <c r="AX219" s="1680"/>
      <c r="AY219" s="1680"/>
      <c r="AZ219" s="1680"/>
      <c r="BA219" s="1680"/>
      <c r="BB219" s="1680"/>
      <c r="BC219" s="1792"/>
      <c r="BD219" s="935"/>
      <c r="BE219" s="935"/>
      <c r="BF219" s="1171" t="s">
        <v>1106</v>
      </c>
    </row>
    <row s="1642" customFormat="1" customHeight="1" ht="14.25">
      <c r="A220" s="1498"/>
      <c r="B220" s="925"/>
      <c r="C220" s="1498"/>
      <c r="D220" s="1498"/>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98"/>
      <c r="V220" s="1498"/>
      <c r="W220" s="1498"/>
      <c r="X220" s="1498"/>
      <c r="Y220" s="1498"/>
      <c r="Z220" s="1498"/>
      <c r="AA220" s="935"/>
      <c r="AB220" s="486" t="str">
        <f>AB215&amp;".5"</f>
        <v>7.4.5</v>
      </c>
      <c r="AC220" s="488" t="s">
        <v>1007</v>
      </c>
      <c r="AD220" s="486" t="s">
        <v>986</v>
      </c>
      <c r="AE220" s="1680"/>
      <c r="AF220" s="1680"/>
      <c r="AG220" s="1680"/>
      <c r="AH220" s="1680"/>
      <c r="AI220" s="280"/>
      <c r="AJ220" s="1664"/>
      <c r="AK220" s="1664"/>
      <c r="AL220" s="1680"/>
      <c r="AM220" s="1680"/>
      <c r="AN220" s="1680"/>
      <c r="AO220" s="1680"/>
      <c r="AP220" s="1680"/>
      <c r="AQ220" s="1680"/>
      <c r="AR220" s="1680"/>
      <c r="AS220" s="280"/>
      <c r="AT220" s="1664"/>
      <c r="AU220" s="1664"/>
      <c r="AV220" s="1680"/>
      <c r="AW220" s="1680"/>
      <c r="AX220" s="1680"/>
      <c r="AY220" s="1680"/>
      <c r="AZ220" s="1680"/>
      <c r="BA220" s="1680"/>
      <c r="BB220" s="1680"/>
      <c r="BC220" s="1792"/>
      <c r="BD220" s="935"/>
      <c r="BE220" s="935"/>
      <c r="BF220" s="1171" t="s">
        <v>1107</v>
      </c>
    </row>
    <row s="1642" customFormat="1" customHeight="1" ht="14.25">
      <c r="A221" s="1498"/>
      <c r="B221" s="925"/>
      <c r="C221" s="1498"/>
      <c r="D221" s="1498"/>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98"/>
      <c r="V221" s="1498"/>
      <c r="W221" s="1498"/>
      <c r="X221" s="1498"/>
      <c r="Y221" s="1498"/>
      <c r="Z221" s="1498"/>
      <c r="AA221" s="935"/>
      <c r="AB221" s="486" t="str">
        <f>AB211&amp;".5"</f>
        <v>7.5</v>
      </c>
      <c r="AC221" s="487" t="s">
        <v>1010</v>
      </c>
      <c r="AD221" s="486" t="s">
        <v>986</v>
      </c>
      <c r="AE221" s="1680"/>
      <c r="AF221" s="1680"/>
      <c r="AG221" s="1680"/>
      <c r="AH221" s="1680"/>
      <c r="AI221" s="280"/>
      <c r="AJ221" s="1664"/>
      <c r="AK221" s="1664"/>
      <c r="AL221" s="1680"/>
      <c r="AM221" s="1680"/>
      <c r="AN221" s="1680"/>
      <c r="AO221" s="1680"/>
      <c r="AP221" s="1680"/>
      <c r="AQ221" s="1680"/>
      <c r="AR221" s="1680"/>
      <c r="AS221" s="280"/>
      <c r="AT221" s="1664"/>
      <c r="AU221" s="1664"/>
      <c r="AV221" s="1680"/>
      <c r="AW221" s="1680"/>
      <c r="AX221" s="1680"/>
      <c r="AY221" s="1680"/>
      <c r="AZ221" s="1680"/>
      <c r="BA221" s="1680"/>
      <c r="BB221" s="1680"/>
      <c r="BC221" s="1792"/>
      <c r="BD221" s="935"/>
      <c r="BE221" s="935"/>
      <c r="BF221" s="1171" t="s">
        <v>1108</v>
      </c>
    </row>
    <row s="1642" customFormat="1" customHeight="1" ht="14.25">
      <c r="A222" s="1498"/>
      <c r="B222" s="925"/>
      <c r="C222" s="1498"/>
      <c r="D222" s="1498"/>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98"/>
      <c r="V222" s="1498"/>
      <c r="W222" s="1498"/>
      <c r="X222" s="1498"/>
      <c r="Y222" s="1498"/>
      <c r="Z222" s="1498"/>
      <c r="AA222" s="935"/>
      <c r="AB222" s="486" t="str">
        <f>AB211&amp;".6"</f>
        <v>7.6</v>
      </c>
      <c r="AC222" s="487" t="s">
        <v>1013</v>
      </c>
      <c r="AD222" s="486" t="s">
        <v>986</v>
      </c>
      <c r="AE222" s="1680"/>
      <c r="AF222" s="1680"/>
      <c r="AG222" s="1680"/>
      <c r="AH222" s="1680"/>
      <c r="AI222" s="280"/>
      <c r="AJ222" s="1664"/>
      <c r="AK222" s="1664"/>
      <c r="AL222" s="1680"/>
      <c r="AM222" s="1680"/>
      <c r="AN222" s="1680"/>
      <c r="AO222" s="1680"/>
      <c r="AP222" s="1680"/>
      <c r="AQ222" s="1680"/>
      <c r="AR222" s="1680"/>
      <c r="AS222" s="280"/>
      <c r="AT222" s="1664"/>
      <c r="AU222" s="1664"/>
      <c r="AV222" s="1680"/>
      <c r="AW222" s="1680"/>
      <c r="AX222" s="1680"/>
      <c r="AY222" s="1680"/>
      <c r="AZ222" s="1680"/>
      <c r="BA222" s="1680"/>
      <c r="BB222" s="1680"/>
      <c r="BC222" s="1792"/>
      <c r="BD222" s="935"/>
      <c r="BE222" s="935"/>
      <c r="BF222" s="1171" t="s">
        <v>1109</v>
      </c>
    </row>
    <row s="1642" customFormat="1" customHeight="1" ht="14.25">
      <c r="A223" s="1498"/>
      <c r="B223" s="925"/>
      <c r="C223" s="1498"/>
      <c r="D223" s="1498"/>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98"/>
      <c r="V223" s="1498"/>
      <c r="W223" s="1498"/>
      <c r="X223" s="1498"/>
      <c r="Y223" s="1498"/>
      <c r="Z223" s="1498"/>
      <c r="AA223" s="935"/>
      <c r="AB223" s="486" t="str">
        <f>AB211&amp;".7"</f>
        <v>7.7</v>
      </c>
      <c r="AC223" s="487" t="s">
        <v>1016</v>
      </c>
      <c r="AD223" s="486" t="s">
        <v>986</v>
      </c>
      <c r="AE223" s="1680"/>
      <c r="AF223" s="1680"/>
      <c r="AG223" s="1680"/>
      <c r="AH223" s="1680"/>
      <c r="AI223" s="280"/>
      <c r="AJ223" s="1664"/>
      <c r="AK223" s="1664"/>
      <c r="AL223" s="1680"/>
      <c r="AM223" s="1680"/>
      <c r="AN223" s="1680"/>
      <c r="AO223" s="1680"/>
      <c r="AP223" s="1680"/>
      <c r="AQ223" s="1680"/>
      <c r="AR223" s="1680"/>
      <c r="AS223" s="280"/>
      <c r="AT223" s="1664"/>
      <c r="AU223" s="1664"/>
      <c r="AV223" s="1680"/>
      <c r="AW223" s="1680"/>
      <c r="AX223" s="1680"/>
      <c r="AY223" s="1680"/>
      <c r="AZ223" s="1680"/>
      <c r="BA223" s="1680"/>
      <c r="BB223" s="1680"/>
      <c r="BC223" s="1792"/>
      <c r="BD223" s="935"/>
      <c r="BE223" s="935"/>
      <c r="BF223" s="1171" t="s">
        <v>1110</v>
      </c>
    </row>
    <row s="1642" customFormat="1" customHeight="1" ht="14.25">
      <c r="A224" s="1498"/>
      <c r="B224" s="925"/>
      <c r="C224" s="1498"/>
      <c r="D224" s="1498"/>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98"/>
      <c r="V224" s="1498"/>
      <c r="W224" s="1498"/>
      <c r="X224" s="1498"/>
      <c r="Y224" s="1498"/>
      <c r="Z224" s="1498"/>
      <c r="AA224" s="935"/>
      <c r="AB224" s="486" t="str">
        <f>AB211&amp;".8"</f>
        <v>7.8</v>
      </c>
      <c r="AC224" s="487" t="s">
        <v>1019</v>
      </c>
      <c r="AD224" s="486" t="s">
        <v>986</v>
      </c>
      <c r="AE224" s="1680"/>
      <c r="AF224" s="1680"/>
      <c r="AG224" s="1680"/>
      <c r="AH224" s="1680"/>
      <c r="AI224" s="280"/>
      <c r="AJ224" s="1664"/>
      <c r="AK224" s="1664"/>
      <c r="AL224" s="1680"/>
      <c r="AM224" s="1680"/>
      <c r="AN224" s="1680"/>
      <c r="AO224" s="1680"/>
      <c r="AP224" s="1680"/>
      <c r="AQ224" s="1680"/>
      <c r="AR224" s="1680"/>
      <c r="AS224" s="280"/>
      <c r="AT224" s="1664"/>
      <c r="AU224" s="1664"/>
      <c r="AV224" s="1680"/>
      <c r="AW224" s="1680"/>
      <c r="AX224" s="1680"/>
      <c r="AY224" s="1680"/>
      <c r="AZ224" s="1680"/>
      <c r="BA224" s="1680"/>
      <c r="BB224" s="1680"/>
      <c r="BC224" s="1792"/>
      <c r="BD224" s="935"/>
      <c r="BE224" s="935"/>
      <c r="BF224" s="1171" t="s">
        <v>1111</v>
      </c>
    </row>
    <row customHeight="1" ht="11.115">
      <c r="E225" s="794">
        <v>11.4</v>
      </c>
      <c r="U225" s="176" t="s">
        <v>237</v>
      </c>
      <c r="V225" s="168" t="s">
        <v>1112</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7" t="s">
        <v>694</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9"/>
      <c r="AC228" s="1509"/>
      <c r="AD228" s="1509"/>
      <c r="AE228" s="1509"/>
      <c r="AF228" s="1509"/>
      <c r="AG228" s="1509"/>
      <c r="AH228" s="1509"/>
      <c r="AI228" s="1510"/>
      <c r="AJ228" s="1870"/>
      <c r="AK228" s="1870"/>
      <c r="AL228" s="1870"/>
      <c r="AM228" s="1870"/>
      <c r="AN228" s="1870"/>
      <c r="AO228" s="1870"/>
      <c r="AP228" s="1870"/>
      <c r="AQ228" s="1870"/>
      <c r="AR228" s="1870"/>
      <c r="AS228" s="1510"/>
      <c r="AT228" s="1870"/>
      <c r="AU228" s="1870"/>
      <c r="AV228" s="1870"/>
      <c r="AW228" s="1870"/>
      <c r="AX228" s="1870"/>
      <c r="AY228" s="1870"/>
      <c r="AZ228" s="1870"/>
      <c r="BA228" s="1870"/>
      <c r="BB228" s="1870"/>
      <c r="BC228" s="1510"/>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5" t="s">
        <v>219</v>
      </c>
      <c r="AB229" s="1871"/>
      <c r="AC229" s="1871"/>
      <c r="AD229" s="1871"/>
      <c r="AE229" s="1871"/>
      <c r="AF229" s="1871"/>
      <c r="AG229" s="1871"/>
      <c r="AH229" s="1871"/>
      <c r="AI229" s="1510"/>
      <c r="AJ229" s="1870"/>
      <c r="AK229" s="1870"/>
      <c r="AL229" s="1870"/>
      <c r="AM229" s="1870"/>
      <c r="AN229" s="1870"/>
      <c r="AO229" s="1870"/>
      <c r="AP229" s="1870"/>
      <c r="AQ229" s="1870"/>
      <c r="AR229" s="1870"/>
      <c r="AS229" s="1510"/>
      <c r="AT229" s="1870"/>
      <c r="AU229" s="1870"/>
      <c r="AV229" s="1870"/>
      <c r="AW229" s="1870"/>
      <c r="AX229" s="1870"/>
      <c r="AY229" s="1870"/>
      <c r="AZ229" s="1870"/>
      <c r="BA229" s="1870"/>
      <c r="BB229" s="1870"/>
      <c r="BC229" s="1870"/>
      <c r="BD229" s="497"/>
      <c r="BE229" s="497"/>
      <c r="BF229" s="1182"/>
    </row>
    <row s="497" customFormat="1" customHeight="1" ht="14.625">
      <c r="A230" s="172"/>
      <c r="B230" s="785"/>
      <c r="C230" s="172"/>
      <c r="D230" s="172"/>
      <c r="E230" s="794">
        <v>15</v>
      </c>
      <c r="F230" s="172"/>
      <c r="Q230" s="736"/>
      <c r="R230" s="736"/>
      <c r="T230" s="172"/>
      <c r="U230" s="172"/>
      <c r="V230" s="172"/>
      <c r="W230" s="168" t="s">
        <v>236</v>
      </c>
      <c r="X230" s="172"/>
      <c r="Y230" s="172"/>
      <c r="Z230" s="172"/>
      <c r="AB230" s="1453" t="s">
        <v>695</v>
      </c>
      <c r="AC230" s="1454"/>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4CD2F-6DC8-9638-C838-296EB5A7DC67}"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371</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372</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Ульяновская область / 2026 / ООО "НИИАР-ГЕНЕРАЦИЯ" (ИНН:7329008990, КПП:732901001)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385</v>
      </c>
      <c r="AC24" s="1507" t="s">
        <v>427</v>
      </c>
      <c r="AD24" s="1507" t="s">
        <v>1113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582</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401</v>
      </c>
      <c r="AF25" s="1354" t="s">
        <v>583</v>
      </c>
      <c r="AG25" s="167" t="s">
        <v>584</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450"/>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311</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1114</v>
      </c>
      <c r="T28" s="816" cm="1" t="str">
        <f t="array" ref="T28:T28">T27</f>
        <v>false</v>
      </c>
      <c r="AB28" s="659" t="s">
        <v>337</v>
      </c>
      <c r="AC28" s="1052" t="s">
        <v>45</v>
      </c>
      <c r="AD28" s="1053" t="s">
        <v>799</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1115</v>
      </c>
    </row>
    <row s="935" customFormat="1" customHeight="1" ht="22.7175" hidden="1">
      <c r="E29" s="794">
        <v>23.3</v>
      </c>
      <c r="F29" s="920" cm="1" t="str">
        <f t="array" ref="F29:F29">F28</f>
        <v>0</v>
      </c>
      <c r="T29" s="816" cm="1" t="str">
        <f t="array" ref="T29:T29">T28</f>
        <v>false</v>
      </c>
      <c r="AB29" s="283" t="s">
        <v>436</v>
      </c>
      <c r="AC29" s="284" t="s">
        <v>1116</v>
      </c>
      <c r="AD29" s="1054" t="s">
        <v>799</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1117</v>
      </c>
    </row>
    <row s="935" customFormat="1" customHeight="1" ht="22.7175" hidden="1">
      <c r="E30" s="794">
        <v>23.3</v>
      </c>
      <c r="F30" s="920" cm="1" t="str">
        <f t="array" ref="F30:F30">F29</f>
        <v>0</v>
      </c>
      <c r="G30" s="736" t="s">
        <v>1118</v>
      </c>
      <c r="T30" s="816" cm="1" t="str">
        <f t="array" ref="T30:T30">T29</f>
        <v>false</v>
      </c>
      <c r="AB30" s="285" t="s">
        <v>1119</v>
      </c>
      <c r="AC30" s="286" t="s">
        <v>1120</v>
      </c>
      <c r="AD30" s="1043" t="s">
        <v>799</v>
      </c>
      <c r="AE30" s="65"/>
      <c r="AF30" s="62"/>
      <c r="AG30" s="62"/>
      <c r="AH30" s="62"/>
      <c r="AI30" s="280"/>
      <c r="AJ30" s="1664"/>
      <c r="AK30" s="1664"/>
      <c r="AL30" s="62"/>
      <c r="AM30" s="62"/>
      <c r="AN30" s="62"/>
      <c r="AO30" s="62"/>
      <c r="AP30" s="62"/>
      <c r="AQ30" s="62"/>
      <c r="AR30" s="62"/>
      <c r="AS30" s="280"/>
      <c r="AT30" s="1664"/>
      <c r="AU30" s="1664"/>
      <c r="AV30" s="62"/>
      <c r="AW30" s="62"/>
      <c r="AX30" s="62"/>
      <c r="AY30" s="62"/>
      <c r="AZ30" s="62"/>
      <c r="BA30" s="62"/>
      <c r="BB30" s="62"/>
      <c r="BC30" s="106"/>
      <c r="BF30" s="1171" t="s">
        <v>1121</v>
      </c>
    </row>
    <row s="935" customFormat="1" customHeight="1" ht="22.7175" hidden="1">
      <c r="E31" s="794">
        <v>23.3</v>
      </c>
      <c r="F31" s="920" cm="1" t="str">
        <f t="array" ref="F31:F31">F30</f>
        <v>0</v>
      </c>
      <c r="G31" s="736" t="s">
        <v>1122</v>
      </c>
      <c r="T31" s="816" cm="1" t="str">
        <f t="array" ref="T31:T31">T30</f>
        <v>false</v>
      </c>
      <c r="AB31" s="285" t="s">
        <v>1123</v>
      </c>
      <c r="AC31" s="286" t="s">
        <v>1124</v>
      </c>
      <c r="AD31" s="1043" t="s">
        <v>799</v>
      </c>
      <c r="AE31" s="65"/>
      <c r="AF31" s="62"/>
      <c r="AG31" s="62"/>
      <c r="AH31" s="62"/>
      <c r="AI31" s="280"/>
      <c r="AJ31" s="1664"/>
      <c r="AK31" s="1664"/>
      <c r="AL31" s="62"/>
      <c r="AM31" s="62"/>
      <c r="AN31" s="62"/>
      <c r="AO31" s="62"/>
      <c r="AP31" s="62"/>
      <c r="AQ31" s="62"/>
      <c r="AR31" s="62"/>
      <c r="AS31" s="280"/>
      <c r="AT31" s="1664"/>
      <c r="AU31" s="1664"/>
      <c r="AV31" s="62"/>
      <c r="AW31" s="62"/>
      <c r="AX31" s="62"/>
      <c r="AY31" s="62"/>
      <c r="AZ31" s="62"/>
      <c r="BA31" s="62"/>
      <c r="BB31" s="62"/>
      <c r="BC31" s="106"/>
      <c r="BF31" s="1171" t="s">
        <v>1125</v>
      </c>
    </row>
    <row s="935" customFormat="1" customHeight="1" ht="22.7175" hidden="1">
      <c r="E32" s="794">
        <v>23.3</v>
      </c>
      <c r="F32" s="920" cm="1" t="str">
        <f t="array" ref="F32:F32">F31</f>
        <v>0</v>
      </c>
      <c r="G32" s="736" t="s">
        <v>1126</v>
      </c>
      <c r="T32" s="816" cm="1" t="str">
        <f t="array" ref="T32:T32">T31</f>
        <v>false</v>
      </c>
      <c r="AB32" s="283" t="s">
        <v>899</v>
      </c>
      <c r="AC32" s="284" t="s">
        <v>1127</v>
      </c>
      <c r="AD32" s="1054" t="s">
        <v>799</v>
      </c>
      <c r="AE32" s="65"/>
      <c r="AF32" s="62"/>
      <c r="AG32" s="62"/>
      <c r="AH32" s="62"/>
      <c r="AI32" s="280"/>
      <c r="AJ32" s="1664"/>
      <c r="AK32" s="1664"/>
      <c r="AL32" s="62"/>
      <c r="AM32" s="62"/>
      <c r="AN32" s="62"/>
      <c r="AO32" s="62"/>
      <c r="AP32" s="62"/>
      <c r="AQ32" s="62"/>
      <c r="AR32" s="62"/>
      <c r="AS32" s="280"/>
      <c r="AT32" s="1664"/>
      <c r="AU32" s="1664"/>
      <c r="AV32" s="62"/>
      <c r="AW32" s="62"/>
      <c r="AX32" s="62"/>
      <c r="AY32" s="62"/>
      <c r="AZ32" s="62"/>
      <c r="BA32" s="62"/>
      <c r="BB32" s="62"/>
      <c r="BC32" s="106"/>
      <c r="BF32" s="1171" t="s">
        <v>1128</v>
      </c>
    </row>
    <row s="935" customFormat="1" customHeight="1" ht="22.7175" hidden="1">
      <c r="E33" s="794">
        <v>23.3</v>
      </c>
      <c r="F33" s="920" cm="1" t="str">
        <f t="array" ref="F33:F33">F32</f>
        <v>0</v>
      </c>
      <c r="T33" s="816" cm="1" t="str">
        <f t="array" ref="T33:T33">T32</f>
        <v>false</v>
      </c>
      <c r="AB33" s="283" t="s">
        <v>901</v>
      </c>
      <c r="AC33" s="284" t="s">
        <v>1129</v>
      </c>
      <c r="AD33" s="1054" t="s">
        <v>799</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1130</v>
      </c>
    </row>
    <row s="935" customFormat="1" customHeight="1" ht="68.05499999999999" hidden="1">
      <c r="E34" s="794">
        <v>69.8</v>
      </c>
      <c r="F34" s="920" cm="1" t="str">
        <f t="array" ref="F34:F34">F33</f>
        <v>0</v>
      </c>
      <c r="G34" s="736" t="s">
        <v>1131</v>
      </c>
      <c r="T34" s="816" cm="1" t="str">
        <f t="array" ref="T34:T34">T33</f>
        <v>false</v>
      </c>
      <c r="AB34" s="285" t="s">
        <v>1132</v>
      </c>
      <c r="AC34" s="286" t="s">
        <v>1133</v>
      </c>
      <c r="AD34" s="1043" t="s">
        <v>799</v>
      </c>
      <c r="AE34" s="65"/>
      <c r="AF34" s="62"/>
      <c r="AG34" s="62"/>
      <c r="AH34" s="62"/>
      <c r="AI34" s="280"/>
      <c r="AJ34" s="1664"/>
      <c r="AK34" s="1664"/>
      <c r="AL34" s="62"/>
      <c r="AM34" s="62"/>
      <c r="AN34" s="62"/>
      <c r="AO34" s="62"/>
      <c r="AP34" s="62"/>
      <c r="AQ34" s="62"/>
      <c r="AR34" s="62"/>
      <c r="AS34" s="280"/>
      <c r="AT34" s="1664"/>
      <c r="AU34" s="1664"/>
      <c r="AV34" s="62"/>
      <c r="AW34" s="62"/>
      <c r="AX34" s="62"/>
      <c r="AY34" s="62"/>
      <c r="AZ34" s="62"/>
      <c r="BA34" s="62"/>
      <c r="BB34" s="62"/>
      <c r="BC34" s="106"/>
      <c r="BF34" s="1171" t="s">
        <v>1134</v>
      </c>
    </row>
    <row s="935" customFormat="1" customHeight="1" ht="28.567500000000006" hidden="1">
      <c r="E35" s="794">
        <v>29.3</v>
      </c>
      <c r="F35" s="920" cm="1" t="str">
        <f t="array" ref="F35:F35">F34</f>
        <v>0</v>
      </c>
      <c r="G35" s="736" t="s">
        <v>1135</v>
      </c>
      <c r="T35" s="816" cm="1" t="str">
        <f t="array" ref="T35:T35">T34</f>
        <v>false</v>
      </c>
      <c r="AB35" s="285" t="s">
        <v>1136</v>
      </c>
      <c r="AC35" s="286" t="s">
        <v>1137</v>
      </c>
      <c r="AD35" s="1043" t="s">
        <v>799</v>
      </c>
      <c r="AE35" s="65"/>
      <c r="AF35" s="62"/>
      <c r="AG35" s="62"/>
      <c r="AH35" s="62"/>
      <c r="AI35" s="280"/>
      <c r="AJ35" s="1664"/>
      <c r="AK35" s="1664"/>
      <c r="AL35" s="62"/>
      <c r="AM35" s="62"/>
      <c r="AN35" s="62"/>
      <c r="AO35" s="62"/>
      <c r="AP35" s="62"/>
      <c r="AQ35" s="62"/>
      <c r="AR35" s="62"/>
      <c r="AS35" s="280"/>
      <c r="AT35" s="1664"/>
      <c r="AU35" s="1664"/>
      <c r="AV35" s="62"/>
      <c r="AW35" s="62"/>
      <c r="AX35" s="62"/>
      <c r="AY35" s="62"/>
      <c r="AZ35" s="62"/>
      <c r="BA35" s="62"/>
      <c r="BB35" s="62"/>
      <c r="BC35" s="106"/>
      <c r="BF35" s="1171" t="s">
        <v>1138</v>
      </c>
    </row>
    <row s="935" customFormat="1" customHeight="1" ht="21.255000000000003" hidden="1">
      <c r="E36" s="794">
        <v>21.8</v>
      </c>
      <c r="F36" s="920" cm="1" t="str">
        <f t="array" ref="F36:F36">F35</f>
        <v>0</v>
      </c>
      <c r="T36" s="816" cm="1" t="str">
        <f t="array" ref="T36:T36">T35</f>
        <v>false</v>
      </c>
      <c r="AB36" s="283" t="s">
        <v>905</v>
      </c>
      <c r="AC36" s="284" t="s">
        <v>1139</v>
      </c>
      <c r="AD36" s="1054" t="s">
        <v>799</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1140</v>
      </c>
    </row>
    <row s="935" customFormat="1" customHeight="1" ht="22.7175" hidden="1">
      <c r="E37" s="794">
        <v>23.3</v>
      </c>
      <c r="F37" s="920" cm="1" t="str">
        <f t="array" ref="F37:F37">F36</f>
        <v>0</v>
      </c>
      <c r="G37" s="736" t="s">
        <v>1118</v>
      </c>
      <c r="T37" s="816" cm="1" t="str">
        <f t="array" ref="T37:T37">T36</f>
        <v>false</v>
      </c>
      <c r="AB37" s="285" t="s">
        <v>994</v>
      </c>
      <c r="AC37" s="286" t="s">
        <v>1120</v>
      </c>
      <c r="AD37" s="1043" t="s">
        <v>799</v>
      </c>
      <c r="AE37" s="65"/>
      <c r="AF37" s="62"/>
      <c r="AG37" s="62"/>
      <c r="AH37" s="62"/>
      <c r="AI37" s="280"/>
      <c r="AJ37" s="1664"/>
      <c r="AK37" s="1664"/>
      <c r="AL37" s="62"/>
      <c r="AM37" s="62"/>
      <c r="AN37" s="62"/>
      <c r="AO37" s="62"/>
      <c r="AP37" s="62"/>
      <c r="AQ37" s="62"/>
      <c r="AR37" s="62"/>
      <c r="AS37" s="280"/>
      <c r="AT37" s="1664"/>
      <c r="AU37" s="1664"/>
      <c r="AV37" s="62"/>
      <c r="AW37" s="62"/>
      <c r="AX37" s="62"/>
      <c r="AY37" s="62"/>
      <c r="AZ37" s="62"/>
      <c r="BA37" s="62"/>
      <c r="BB37" s="62"/>
      <c r="BC37" s="106"/>
      <c r="BF37" s="1171" t="s">
        <v>1141</v>
      </c>
    </row>
    <row s="935" customFormat="1" customHeight="1" ht="22.7175" hidden="1">
      <c r="E38" s="794">
        <v>23.3</v>
      </c>
      <c r="F38" s="920" cm="1" t="str">
        <f t="array" ref="F38:F38">F37</f>
        <v>0</v>
      </c>
      <c r="G38" s="736" t="s">
        <v>1122</v>
      </c>
      <c r="T38" s="816" cm="1" t="str">
        <f t="array" ref="T38:T38">T37</f>
        <v>false</v>
      </c>
      <c r="AB38" s="285" t="s">
        <v>997</v>
      </c>
      <c r="AC38" s="286" t="s">
        <v>1124</v>
      </c>
      <c r="AD38" s="1043" t="s">
        <v>799</v>
      </c>
      <c r="AE38" s="65"/>
      <c r="AF38" s="62"/>
      <c r="AG38" s="62"/>
      <c r="AH38" s="62"/>
      <c r="AI38" s="280"/>
      <c r="AJ38" s="1664"/>
      <c r="AK38" s="1664"/>
      <c r="AL38" s="62"/>
      <c r="AM38" s="62"/>
      <c r="AN38" s="62"/>
      <c r="AO38" s="62"/>
      <c r="AP38" s="62"/>
      <c r="AQ38" s="62"/>
      <c r="AR38" s="62"/>
      <c r="AS38" s="280"/>
      <c r="AT38" s="1664"/>
      <c r="AU38" s="1664"/>
      <c r="AV38" s="62"/>
      <c r="AW38" s="62"/>
      <c r="AX38" s="62"/>
      <c r="AY38" s="62"/>
      <c r="AZ38" s="62"/>
      <c r="BA38" s="62"/>
      <c r="BB38" s="62"/>
      <c r="BC38" s="106"/>
      <c r="BF38" s="1171" t="s">
        <v>1142</v>
      </c>
    </row>
    <row s="1891"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337</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1114</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337</v>
      </c>
      <c r="AC40" s="1052" t="s">
        <v>45</v>
      </c>
      <c r="AD40" s="1053" t="s">
        <v>799</v>
      </c>
      <c r="AE40" s="332">
        <f>AE41+AE44+AE45+AE48</f>
        <v>0</v>
      </c>
      <c r="AF40" s="332">
        <f>AF41+AF44+AF45+AF48</f>
        <v>0</v>
      </c>
      <c r="AG40" s="332">
        <f>AG41+AG44+AG45+AG48</f>
        <v>0</v>
      </c>
      <c r="AH40" s="332">
        <f>AH41+AH44+AH45+AH48</f>
        <v>0</v>
      </c>
      <c r="AI40" s="332">
        <f>AI41+AI44+AI45+AI48</f>
        <v>8469.83</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83"/>
      <c r="BD40" s="935"/>
      <c r="BE40" s="935"/>
      <c r="BF40" s="1171" t="s">
        <v>1115</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436</v>
      </c>
      <c r="AC41" s="284" t="s">
        <v>1116</v>
      </c>
      <c r="AD41" s="1054" t="s">
        <v>799</v>
      </c>
      <c r="AE41" s="588">
        <f>AE42+AE43</f>
        <v>0</v>
      </c>
      <c r="AF41" s="332">
        <f>AF42+AF43</f>
        <v>0</v>
      </c>
      <c r="AG41" s="332">
        <f>AG42+AG43</f>
        <v>0</v>
      </c>
      <c r="AH41" s="332">
        <f>AH42+AH43</f>
        <v>0</v>
      </c>
      <c r="AI41" s="332">
        <f>AI42+AI43</f>
        <v>8469.83</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83"/>
      <c r="BD41" s="935"/>
      <c r="BE41" s="935"/>
      <c r="BF41" s="1171" t="s">
        <v>1117</v>
      </c>
    </row>
    <row s="935" customFormat="1" customHeight="1" ht="22.5">
      <c r="A42" s="935"/>
      <c r="B42" s="935"/>
      <c r="C42" s="935"/>
      <c r="D42" s="935"/>
      <c r="E42" s="794">
        <v>23.3</v>
      </c>
      <c r="F42" s="920" cm="1" t="str">
        <f t="array" ref="F42:F42">F41</f>
        <v>1</v>
      </c>
      <c r="G42" s="736" t="s">
        <v>1118</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1119</v>
      </c>
      <c r="AC42" s="286" t="s">
        <v>1120</v>
      </c>
      <c r="AD42" s="1043" t="s">
        <v>799</v>
      </c>
      <c r="AE42" s="1693"/>
      <c r="AF42" s="1680"/>
      <c r="AG42" s="1680"/>
      <c r="AH42" s="1680"/>
      <c r="AI42" s="280"/>
      <c r="AJ42" s="1664"/>
      <c r="AK42" s="1664"/>
      <c r="AL42" s="1680"/>
      <c r="AM42" s="1680"/>
      <c r="AN42" s="1680"/>
      <c r="AO42" s="1680"/>
      <c r="AP42" s="1680"/>
      <c r="AQ42" s="1680"/>
      <c r="AR42" s="1680"/>
      <c r="AS42" s="280"/>
      <c r="AT42" s="1664"/>
      <c r="AU42" s="1664"/>
      <c r="AV42" s="1680"/>
      <c r="AW42" s="1680"/>
      <c r="AX42" s="1680"/>
      <c r="AY42" s="1680"/>
      <c r="AZ42" s="1680"/>
      <c r="BA42" s="1680"/>
      <c r="BB42" s="1680"/>
      <c r="BC42" s="1883"/>
      <c r="BD42" s="935"/>
      <c r="BE42" s="935"/>
      <c r="BF42" s="1171" t="s">
        <v>1121</v>
      </c>
    </row>
    <row s="935" customFormat="1" customHeight="1" ht="22.5">
      <c r="A43" s="935"/>
      <c r="B43" s="935"/>
      <c r="C43" s="935"/>
      <c r="D43" s="935"/>
      <c r="E43" s="794">
        <v>23.3</v>
      </c>
      <c r="F43" s="920" cm="1" t="str">
        <f t="array" ref="F43:F43">F42</f>
        <v>1</v>
      </c>
      <c r="G43" s="736" t="s">
        <v>1122</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1123</v>
      </c>
      <c r="AC43" s="286" t="s">
        <v>1124</v>
      </c>
      <c r="AD43" s="1043" t="s">
        <v>799</v>
      </c>
      <c r="AE43" s="1693"/>
      <c r="AF43" s="1680"/>
      <c r="AG43" s="1680"/>
      <c r="AH43" s="1680"/>
      <c r="AI43" s="280">
        <v>8469.83</v>
      </c>
      <c r="AJ43" s="1664"/>
      <c r="AK43" s="1664"/>
      <c r="AL43" s="1680"/>
      <c r="AM43" s="1680"/>
      <c r="AN43" s="1680"/>
      <c r="AO43" s="1680"/>
      <c r="AP43" s="1680"/>
      <c r="AQ43" s="1680"/>
      <c r="AR43" s="1680"/>
      <c r="AS43" s="280"/>
      <c r="AT43" s="1664"/>
      <c r="AU43" s="1664"/>
      <c r="AV43" s="1680"/>
      <c r="AW43" s="1680"/>
      <c r="AX43" s="1680"/>
      <c r="AY43" s="1680"/>
      <c r="AZ43" s="1680"/>
      <c r="BA43" s="1680"/>
      <c r="BB43" s="1680"/>
      <c r="BC43" s="1883"/>
      <c r="BD43" s="935"/>
      <c r="BE43" s="935"/>
      <c r="BF43" s="1171" t="s">
        <v>1125</v>
      </c>
    </row>
    <row s="935" customFormat="1" customHeight="1" ht="22.5">
      <c r="A44" s="935"/>
      <c r="B44" s="935"/>
      <c r="C44" s="935"/>
      <c r="D44" s="935"/>
      <c r="E44" s="794">
        <v>23.3</v>
      </c>
      <c r="F44" s="920" cm="1" t="str">
        <f t="array" ref="F44:F44">F43</f>
        <v>1</v>
      </c>
      <c r="G44" s="736" t="s">
        <v>1126</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899</v>
      </c>
      <c r="AC44" s="284" t="s">
        <v>1127</v>
      </c>
      <c r="AD44" s="1054" t="s">
        <v>799</v>
      </c>
      <c r="AE44" s="1693"/>
      <c r="AF44" s="1680"/>
      <c r="AG44" s="1680"/>
      <c r="AH44" s="1680"/>
      <c r="AI44" s="280"/>
      <c r="AJ44" s="1664"/>
      <c r="AK44" s="1664"/>
      <c r="AL44" s="1680"/>
      <c r="AM44" s="1680"/>
      <c r="AN44" s="1680"/>
      <c r="AO44" s="1680"/>
      <c r="AP44" s="1680"/>
      <c r="AQ44" s="1680"/>
      <c r="AR44" s="1680"/>
      <c r="AS44" s="280"/>
      <c r="AT44" s="1664"/>
      <c r="AU44" s="1664"/>
      <c r="AV44" s="1680"/>
      <c r="AW44" s="1680"/>
      <c r="AX44" s="1680"/>
      <c r="AY44" s="1680"/>
      <c r="AZ44" s="1680"/>
      <c r="BA44" s="1680"/>
      <c r="BB44" s="1680"/>
      <c r="BC44" s="1883"/>
      <c r="BD44" s="935"/>
      <c r="BE44" s="935"/>
      <c r="BF44" s="1171" t="s">
        <v>1128</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901</v>
      </c>
      <c r="AC45" s="284" t="s">
        <v>1129</v>
      </c>
      <c r="AD45" s="1054" t="s">
        <v>799</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83"/>
      <c r="BD45" s="935"/>
      <c r="BE45" s="935"/>
      <c r="BF45" s="1171" t="s">
        <v>1130</v>
      </c>
    </row>
    <row s="935" customFormat="1" customHeight="1" ht="67.5">
      <c r="A46" s="935"/>
      <c r="B46" s="935"/>
      <c r="C46" s="935"/>
      <c r="D46" s="935"/>
      <c r="E46" s="794">
        <v>69.8</v>
      </c>
      <c r="F46" s="920" cm="1" t="str">
        <f t="array" ref="F46:F46">F45</f>
        <v>1</v>
      </c>
      <c r="G46" s="736" t="s">
        <v>1131</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1132</v>
      </c>
      <c r="AC46" s="286" t="s">
        <v>1133</v>
      </c>
      <c r="AD46" s="1043" t="s">
        <v>799</v>
      </c>
      <c r="AE46" s="1693"/>
      <c r="AF46" s="1680"/>
      <c r="AG46" s="1680"/>
      <c r="AH46" s="1680"/>
      <c r="AI46" s="280"/>
      <c r="AJ46" s="1664"/>
      <c r="AK46" s="1664"/>
      <c r="AL46" s="1680"/>
      <c r="AM46" s="1680"/>
      <c r="AN46" s="1680"/>
      <c r="AO46" s="1680"/>
      <c r="AP46" s="1680"/>
      <c r="AQ46" s="1680"/>
      <c r="AR46" s="1680"/>
      <c r="AS46" s="280"/>
      <c r="AT46" s="1664"/>
      <c r="AU46" s="1664"/>
      <c r="AV46" s="1680"/>
      <c r="AW46" s="1680"/>
      <c r="AX46" s="1680"/>
      <c r="AY46" s="1680"/>
      <c r="AZ46" s="1680"/>
      <c r="BA46" s="1680"/>
      <c r="BB46" s="1680"/>
      <c r="BC46" s="1883"/>
      <c r="BD46" s="935"/>
      <c r="BE46" s="935"/>
      <c r="BF46" s="1171" t="s">
        <v>1134</v>
      </c>
    </row>
    <row s="935" customFormat="1" customHeight="1" ht="28.5">
      <c r="A47" s="935"/>
      <c r="B47" s="935"/>
      <c r="C47" s="935"/>
      <c r="D47" s="935"/>
      <c r="E47" s="794">
        <v>29.3</v>
      </c>
      <c r="F47" s="920" cm="1" t="str">
        <f t="array" ref="F47:F47">F46</f>
        <v>1</v>
      </c>
      <c r="G47" s="736" t="s">
        <v>1135</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1136</v>
      </c>
      <c r="AC47" s="286" t="s">
        <v>1137</v>
      </c>
      <c r="AD47" s="1043" t="s">
        <v>799</v>
      </c>
      <c r="AE47" s="1693"/>
      <c r="AF47" s="1680"/>
      <c r="AG47" s="1680"/>
      <c r="AH47" s="1680"/>
      <c r="AI47" s="280"/>
      <c r="AJ47" s="1664"/>
      <c r="AK47" s="1664"/>
      <c r="AL47" s="1680"/>
      <c r="AM47" s="1680"/>
      <c r="AN47" s="1680"/>
      <c r="AO47" s="1680"/>
      <c r="AP47" s="1680"/>
      <c r="AQ47" s="1680"/>
      <c r="AR47" s="1680"/>
      <c r="AS47" s="280"/>
      <c r="AT47" s="1664"/>
      <c r="AU47" s="1664"/>
      <c r="AV47" s="1680"/>
      <c r="AW47" s="1680"/>
      <c r="AX47" s="1680"/>
      <c r="AY47" s="1680"/>
      <c r="AZ47" s="1680"/>
      <c r="BA47" s="1680"/>
      <c r="BB47" s="1680"/>
      <c r="BC47" s="1883"/>
      <c r="BD47" s="935"/>
      <c r="BE47" s="935"/>
      <c r="BF47" s="1171" t="s">
        <v>1138</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905</v>
      </c>
      <c r="AC48" s="284" t="s">
        <v>1139</v>
      </c>
      <c r="AD48" s="1054" t="s">
        <v>799</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83"/>
      <c r="BD48" s="935"/>
      <c r="BE48" s="935"/>
      <c r="BF48" s="1171" t="s">
        <v>1140</v>
      </c>
    </row>
    <row s="935" customFormat="1" customHeight="1" ht="22.5">
      <c r="A49" s="935"/>
      <c r="B49" s="935"/>
      <c r="C49" s="935"/>
      <c r="D49" s="935"/>
      <c r="E49" s="794">
        <v>23.3</v>
      </c>
      <c r="F49" s="920" cm="1" t="str">
        <f t="array" ref="F49:F49">F48</f>
        <v>1</v>
      </c>
      <c r="G49" s="736" t="s">
        <v>1118</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994</v>
      </c>
      <c r="AC49" s="286" t="s">
        <v>1120</v>
      </c>
      <c r="AD49" s="1043" t="s">
        <v>799</v>
      </c>
      <c r="AE49" s="1693"/>
      <c r="AF49" s="1680"/>
      <c r="AG49" s="1680"/>
      <c r="AH49" s="1680"/>
      <c r="AI49" s="280"/>
      <c r="AJ49" s="1664"/>
      <c r="AK49" s="1664"/>
      <c r="AL49" s="1680"/>
      <c r="AM49" s="1680"/>
      <c r="AN49" s="1680"/>
      <c r="AO49" s="1680"/>
      <c r="AP49" s="1680"/>
      <c r="AQ49" s="1680"/>
      <c r="AR49" s="1680"/>
      <c r="AS49" s="280"/>
      <c r="AT49" s="1664"/>
      <c r="AU49" s="1664"/>
      <c r="AV49" s="1680"/>
      <c r="AW49" s="1680"/>
      <c r="AX49" s="1680"/>
      <c r="AY49" s="1680"/>
      <c r="AZ49" s="1680"/>
      <c r="BA49" s="1680"/>
      <c r="BB49" s="1680"/>
      <c r="BC49" s="1883"/>
      <c r="BD49" s="935"/>
      <c r="BE49" s="935"/>
      <c r="BF49" s="1171" t="s">
        <v>1141</v>
      </c>
    </row>
    <row s="935" customFormat="1" customHeight="1" ht="22.5">
      <c r="A50" s="935"/>
      <c r="B50" s="935"/>
      <c r="C50" s="935"/>
      <c r="D50" s="935"/>
      <c r="E50" s="794">
        <v>23.3</v>
      </c>
      <c r="F50" s="920" cm="1" t="str">
        <f t="array" ref="F50:F50">F49</f>
        <v>1</v>
      </c>
      <c r="G50" s="736" t="s">
        <v>1122</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997</v>
      </c>
      <c r="AC50" s="286" t="s">
        <v>1124</v>
      </c>
      <c r="AD50" s="1043" t="s">
        <v>799</v>
      </c>
      <c r="AE50" s="1693"/>
      <c r="AF50" s="1680"/>
      <c r="AG50" s="1680"/>
      <c r="AH50" s="1680"/>
      <c r="AI50" s="280"/>
      <c r="AJ50" s="1664"/>
      <c r="AK50" s="1664"/>
      <c r="AL50" s="1680"/>
      <c r="AM50" s="1680"/>
      <c r="AN50" s="1680"/>
      <c r="AO50" s="1680"/>
      <c r="AP50" s="1680"/>
      <c r="AQ50" s="1680"/>
      <c r="AR50" s="1680"/>
      <c r="AS50" s="280"/>
      <c r="AT50" s="1664"/>
      <c r="AU50" s="1664"/>
      <c r="AV50" s="1680"/>
      <c r="AW50" s="1680"/>
      <c r="AX50" s="1680"/>
      <c r="AY50" s="1680"/>
      <c r="AZ50" s="1680"/>
      <c r="BA50" s="1680"/>
      <c r="BB50" s="1680"/>
      <c r="BC50" s="1883"/>
      <c r="BD50" s="935"/>
      <c r="BE50" s="935"/>
      <c r="BF50" s="1171" t="s">
        <v>1142</v>
      </c>
    </row>
    <row customHeight="1" ht="11.115">
      <c r="E51" s="923">
        <v>11.4</v>
      </c>
      <c r="U51" s="176" t="s">
        <v>237</v>
      </c>
      <c r="V51" s="168" t="s">
        <v>1143</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7" t="s">
        <v>694</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2"/>
    </row>
    <row s="497" customFormat="1" customHeight="1" ht="14.625">
      <c r="A54" s="172"/>
      <c r="B54" s="785"/>
      <c r="C54" s="172"/>
      <c r="D54" s="172"/>
      <c r="E54" s="794">
        <v>15</v>
      </c>
      <c r="F54" s="172"/>
      <c r="Q54" s="736"/>
      <c r="R54" s="736"/>
      <c r="T54" s="172"/>
      <c r="U54" s="172"/>
      <c r="V54" s="172"/>
      <c r="W54" s="172"/>
      <c r="X54" s="172"/>
      <c r="Y54" s="172"/>
      <c r="Z54" s="172"/>
      <c r="AA54" s="919"/>
      <c r="AB54" s="1509"/>
      <c r="AC54" s="1509"/>
      <c r="AD54" s="1509"/>
      <c r="AE54" s="1509"/>
      <c r="AF54" s="1509"/>
      <c r="AG54" s="1509"/>
      <c r="AH54" s="1509"/>
      <c r="AI54" s="1510"/>
      <c r="AJ54" s="1870"/>
      <c r="AK54" s="1870"/>
      <c r="AL54" s="1870"/>
      <c r="AM54" s="1870"/>
      <c r="AN54" s="1870"/>
      <c r="AO54" s="1870"/>
      <c r="AP54" s="1870"/>
      <c r="AQ54" s="1870"/>
      <c r="AR54" s="1870"/>
      <c r="AS54" s="1510"/>
      <c r="AT54" s="1870"/>
      <c r="AU54" s="1870"/>
      <c r="AV54" s="1870"/>
      <c r="AW54" s="1870"/>
      <c r="AX54" s="1870"/>
      <c r="AY54" s="1870"/>
      <c r="AZ54" s="1870"/>
      <c r="BA54" s="1870"/>
      <c r="BB54" s="1870"/>
      <c r="BC54" s="1510"/>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5" t="s">
        <v>219</v>
      </c>
      <c r="AB55" s="1871"/>
      <c r="AC55" s="1871"/>
      <c r="AD55" s="1871"/>
      <c r="AE55" s="1871"/>
      <c r="AF55" s="1871"/>
      <c r="AG55" s="1871"/>
      <c r="AH55" s="1871"/>
      <c r="AI55" s="1510"/>
      <c r="AJ55" s="1870"/>
      <c r="AK55" s="1870"/>
      <c r="AL55" s="1870"/>
      <c r="AM55" s="1870"/>
      <c r="AN55" s="1870"/>
      <c r="AO55" s="1870"/>
      <c r="AP55" s="1870"/>
      <c r="AQ55" s="1870"/>
      <c r="AR55" s="1870"/>
      <c r="AS55" s="1510"/>
      <c r="AT55" s="1870"/>
      <c r="AU55" s="1870"/>
      <c r="AV55" s="1870"/>
      <c r="AW55" s="1870"/>
      <c r="AX55" s="1870"/>
      <c r="AY55" s="1870"/>
      <c r="AZ55" s="1870"/>
      <c r="BA55" s="1870"/>
      <c r="BB55" s="1870"/>
      <c r="BC55" s="1870"/>
      <c r="BD55" s="497"/>
      <c r="BE55" s="497"/>
      <c r="BF55" s="1182"/>
    </row>
    <row s="497" customFormat="1" customHeight="1" ht="14.625">
      <c r="A56" s="172"/>
      <c r="B56" s="785"/>
      <c r="C56" s="172"/>
      <c r="D56" s="172"/>
      <c r="E56" s="794">
        <v>15</v>
      </c>
      <c r="F56" s="172"/>
      <c r="Q56" s="736"/>
      <c r="R56" s="736"/>
      <c r="T56" s="172"/>
      <c r="U56" s="172"/>
      <c r="V56" s="172"/>
      <c r="W56" s="168" t="s">
        <v>236</v>
      </c>
      <c r="X56" s="172"/>
      <c r="Y56" s="172"/>
      <c r="Z56" s="172"/>
      <c r="AB56" s="1453" t="s">
        <v>695</v>
      </c>
      <c r="AC56" s="1454"/>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B24788-C968-9948-BDA8-3657495EED9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9.00390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371</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222" t="s">
        <v>372</v>
      </c>
      <c r="BG1" s="1222" t="s">
        <v>373</v>
      </c>
      <c r="BH1" s="1222" t="s">
        <v>374</v>
      </c>
      <c r="BI1" s="1222" t="s">
        <v>1144</v>
      </c>
      <c r="BJ1" s="1223" t="s">
        <v>377</v>
      </c>
      <c r="BK1" s="1223" t="s">
        <v>378</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222"/>
      <c r="BG3" s="1222"/>
      <c r="BH3" s="1222"/>
      <c r="BI3" s="1222"/>
      <c r="BJ3" s="1223"/>
      <c r="BK3" s="1223"/>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383</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374</v>
      </c>
      <c r="AD12" s="1209" t="s">
        <v>1144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72"/>
      <c r="AY17" s="172"/>
      <c r="AZ17" s="172"/>
      <c r="BA17" s="172"/>
      <c r="BB17" s="172"/>
      <c r="BF17" s="1222"/>
      <c r="BG17" s="1222"/>
      <c r="BH17" s="1222"/>
      <c r="BI17" s="1222"/>
      <c r="BJ17" s="1223"/>
      <c r="BK17" s="1223"/>
    </row>
    <row s="1400" customFormat="1" customHeight="1" ht="12" hidden="1">
      <c r="A18" s="1018" t="s">
        <v>482</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222"/>
      <c r="BG18" s="1222"/>
      <c r="BH18" s="1222"/>
      <c r="BI18" s="1222"/>
      <c r="BJ18" s="1223"/>
      <c r="BK18" s="1223"/>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222"/>
      <c r="BG19" s="1222"/>
      <c r="BH19" s="1222"/>
      <c r="BI19" s="1222"/>
      <c r="BJ19" s="1223"/>
      <c r="BK19" s="1223"/>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222"/>
      <c r="BG20" s="1222"/>
      <c r="BH20" s="1222"/>
      <c r="BI20" s="1222"/>
      <c r="BJ20" s="1223"/>
      <c r="BK20" s="1223"/>
    </row>
    <row customHeight="1" ht="14.625">
      <c r="E21" s="794">
        <v>15</v>
      </c>
      <c r="AA21" s="817"/>
      <c r="AC21" s="400" cm="1" t="str">
        <f t="array" ref="AC21:AC21">tpl_title</f>
        <v>Ульяновская область / 2026 / ООО "НИИАР-ГЕНЕРАЦИЯ" (ИНН:7329008990, КПП:732901001)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1145</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959</v>
      </c>
      <c r="AC24" s="1515" t="s">
        <v>226</v>
      </c>
      <c r="AD24" s="1507"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582</v>
      </c>
    </row>
    <row customHeight="1" ht="48.847500000000004">
      <c r="E25" s="794">
        <v>50.1</v>
      </c>
      <c r="AB25" s="1514"/>
      <c r="AC25" s="1514"/>
      <c r="AD25" s="1514"/>
      <c r="AE25" s="167" t="s">
        <v>401</v>
      </c>
      <c r="AF25" s="1354" t="s">
        <v>583</v>
      </c>
      <c r="AG25" s="167" t="s">
        <v>584</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1146</v>
      </c>
      <c r="T27" s="816">
        <f>X27&gt;0</f>
        <v>0</v>
      </c>
      <c r="V27" s="172" t="s">
        <v>311</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431</v>
      </c>
      <c r="T28" s="816" cm="1" t="str">
        <f t="array" ref="T28:T28">T27</f>
        <v>false</v>
      </c>
      <c r="AB28" s="283">
        <v>1</v>
      </c>
      <c r="AC28" s="278" t="s">
        <v>1147</v>
      </c>
      <c r="AD28" s="277" t="s">
        <v>799</v>
      </c>
      <c r="AE28" s="279">
        <f>SUMIF($AD29:$AD33,$AD28,AE29:AE33)</f>
        <v>0</v>
      </c>
      <c r="AF28" s="279">
        <f>SUMIF($AD29:$AD33,$AD28,AF29:AF33)</f>
        <v>0</v>
      </c>
      <c r="AG28" s="279">
        <f>SUMIF($AD29:$AD33,$AD28,AG29:AG33)</f>
        <v>0</v>
      </c>
      <c r="AH28" s="279">
        <f>SUMIF($AD29:$AD33,$AD28,AH29:AH33)</f>
        <v>0</v>
      </c>
      <c r="AI28" s="279">
        <f>SUMIF($AD29:$AD33,$AD28,AI29:AI33)</f>
        <v>0</v>
      </c>
      <c r="AJ28" s="1848">
        <f>SUMIF($AD29:$AD33,$AD28,AJ29:AJ33)</f>
        <v>0</v>
      </c>
      <c r="AK28" s="1848">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8">
        <f>SUMIF($AD29:$AD33,$AD28,AT29:AT33)</f>
        <v>0</v>
      </c>
      <c r="AU28" s="1848">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973</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431</v>
      </c>
      <c r="H30" s="152" cm="1" t="str">
        <f t="array" ref="H30:H30">AC30</f>
        <v>0</v>
      </c>
      <c r="T30" s="816">
        <f>AND(F30&gt;0,Y30&gt;0)</f>
        <v>0</v>
      </c>
      <c r="W30" s="156" t="s">
        <v>235</v>
      </c>
      <c r="Y30" s="156">
        <v>0</v>
      </c>
      <c r="AA30" s="1513" t="s">
        <v>219</v>
      </c>
      <c r="AB30" s="285" t="str">
        <f>"1."&amp;Y30</f>
        <v>1.0</v>
      </c>
      <c r="AC30" s="460"/>
      <c r="AD30" s="277" t="s">
        <v>799</v>
      </c>
      <c r="AE30" s="1852">
        <f>AE31*AE32/1000</f>
        <v>0</v>
      </c>
      <c r="AF30" s="62"/>
      <c r="AG30" s="62"/>
      <c r="AH30" s="1852">
        <f>AH31*AH32/1000</f>
        <v>0</v>
      </c>
      <c r="AI30" s="280"/>
      <c r="AJ30" s="1664"/>
      <c r="AK30" s="1664"/>
      <c r="AL30" s="62"/>
      <c r="AM30" s="62"/>
      <c r="AN30" s="62"/>
      <c r="AO30" s="62"/>
      <c r="AP30" s="62"/>
      <c r="AQ30" s="62"/>
      <c r="AR30" s="62"/>
      <c r="AS30" s="1853">
        <f>AS31*AS32/1000</f>
        <v>0</v>
      </c>
      <c r="AT30" s="1853">
        <f>AT31*AT32/1000</f>
        <v>0</v>
      </c>
      <c r="AU30" s="1853">
        <f>AU31*AU32/1000</f>
        <v>0</v>
      </c>
      <c r="AV30" s="1852">
        <f>AV31*AV32/1000</f>
        <v>0</v>
      </c>
      <c r="AW30" s="1852">
        <f>AW31*AW32/1000</f>
        <v>0</v>
      </c>
      <c r="AX30" s="1852">
        <f>AX31*AX32/1000</f>
        <v>0</v>
      </c>
      <c r="AY30" s="1852">
        <f>AY31*AY32/1000</f>
        <v>0</v>
      </c>
      <c r="AZ30" s="1852">
        <f>AZ31*AZ32/1000</f>
        <v>0</v>
      </c>
      <c r="BA30" s="1852">
        <f>BA31*BA32/1000</f>
        <v>0</v>
      </c>
      <c r="BB30" s="1852">
        <f>BB31*BB32/1000</f>
        <v>0</v>
      </c>
      <c r="BC30" s="74"/>
      <c r="BF30" s="1222" t="s">
        <v>974</v>
      </c>
      <c r="BG30" s="1222" t="s">
        <v>1148</v>
      </c>
      <c r="BH30" s="1222" cm="1" t="str">
        <f t="array" ref="BH30:BH30">AC30</f>
        <v>0</v>
      </c>
      <c r="BI30" s="1222" cm="1" t="str">
        <f t="array" ref="BI30:BI30">AD32</f>
        <v>Гкал</v>
      </c>
      <c r="BK30" s="1223" t="b">
        <v>1</v>
      </c>
    </row>
    <row s="1642" customFormat="1" customHeight="1" ht="16.5" hidden="1">
      <c r="B31" s="925"/>
      <c r="C31" s="1400"/>
      <c r="D31" s="1400"/>
      <c r="E31" s="923">
        <v>17</v>
      </c>
      <c r="F31" s="920" cm="1" t="str">
        <f t="array" ref="F31:F31">F29</f>
        <v>0</v>
      </c>
      <c r="G31" s="190" t="s">
        <v>191</v>
      </c>
      <c r="H31" s="1512" cm="1" t="str">
        <f t="array" ref="H31:H31">H30</f>
        <v>0</v>
      </c>
      <c r="I31" s="1512"/>
      <c r="J31" s="1512"/>
      <c r="K31" s="1512"/>
      <c r="L31" s="1512"/>
      <c r="M31" s="1512"/>
      <c r="N31" s="1512"/>
      <c r="O31" s="1512"/>
      <c r="P31" s="1512"/>
      <c r="Q31" s="190"/>
      <c r="R31" s="190"/>
      <c r="S31" s="1512"/>
      <c r="T31" s="947" cm="1" t="str">
        <f t="array" ref="T31:T31">T30</f>
        <v>false</v>
      </c>
      <c r="U31" s="1498"/>
      <c r="V31" s="1498"/>
      <c r="W31" s="1498"/>
      <c r="X31" s="1498"/>
      <c r="Y31" s="1498"/>
      <c r="Z31" s="1498"/>
      <c r="AA31" s="1513"/>
      <c r="AB31" s="512" t="str">
        <f>AB30&amp;".1"</f>
        <v>1.0.1</v>
      </c>
      <c r="AC31" s="489" t="s">
        <v>910</v>
      </c>
      <c r="AD31" s="1892" t="s">
        <v>242</v>
      </c>
      <c r="AE31" s="1876"/>
      <c r="AF31" s="701">
        <f>IF(AF32=0,0,AF30/AF32)*1000</f>
        <v>0</v>
      </c>
      <c r="AG31" s="701">
        <f>IF(AG32=0,0,AG30/AG32)*1000</f>
        <v>0</v>
      </c>
      <c r="AH31" s="1876"/>
      <c r="AI31" s="701">
        <f>IF(AI32=0,0,AI30/AI32)*1000</f>
        <v>0</v>
      </c>
      <c r="AJ31" s="1853">
        <f>IF(AJ32=0,0,AJ30/AJ32)*1000</f>
        <v>0</v>
      </c>
      <c r="AK31" s="1853">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64"/>
      <c r="AU31" s="1664"/>
      <c r="AV31" s="1876"/>
      <c r="AW31" s="1876"/>
      <c r="AX31" s="1876"/>
      <c r="AY31" s="1876"/>
      <c r="AZ31" s="1876"/>
      <c r="BA31" s="1876"/>
      <c r="BB31" s="1876"/>
      <c r="BC31" s="1847"/>
      <c r="BD31" s="220"/>
      <c r="BE31" s="220"/>
      <c r="BF31" s="1222" t="s">
        <v>976</v>
      </c>
      <c r="BG31" s="1222" t="s">
        <v>1148</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191</v>
      </c>
      <c r="H32" s="152" cm="1" t="str">
        <f t="array" ref="H32:H32">H30</f>
        <v>0</v>
      </c>
      <c r="T32" s="816" cm="1" t="str">
        <f t="array" ref="T32:T32">T30</f>
        <v>false</v>
      </c>
      <c r="AA32" s="1513"/>
      <c r="AB32" s="285" t="str">
        <f>AB30&amp;".2"</f>
        <v>1.0.2</v>
      </c>
      <c r="AC32" s="291" t="s">
        <v>1149</v>
      </c>
      <c r="AD32" s="1892" t="s">
        <v>586</v>
      </c>
      <c r="AE32" s="62"/>
      <c r="AF32" s="62"/>
      <c r="AG32" s="62"/>
      <c r="AH32" s="62"/>
      <c r="AI32" s="280"/>
      <c r="AJ32" s="1664"/>
      <c r="AK32" s="1664"/>
      <c r="AL32" s="62"/>
      <c r="AM32" s="62"/>
      <c r="AN32" s="62"/>
      <c r="AO32" s="62"/>
      <c r="AP32" s="62"/>
      <c r="AQ32" s="62"/>
      <c r="AR32" s="62"/>
      <c r="AS32" s="280"/>
      <c r="AT32" s="1664"/>
      <c r="AU32" s="1664"/>
      <c r="AV32" s="62"/>
      <c r="AW32" s="62"/>
      <c r="AX32" s="62"/>
      <c r="AY32" s="62"/>
      <c r="AZ32" s="62"/>
      <c r="BA32" s="62"/>
      <c r="BB32" s="62"/>
      <c r="BC32" s="74"/>
      <c r="BF32" s="1222" t="s">
        <v>978</v>
      </c>
      <c r="BG32" s="1222" t="s">
        <v>1148</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1150</v>
      </c>
      <c r="AB33" s="299"/>
      <c r="AC33" s="300" t="s">
        <v>946</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1148</v>
      </c>
    </row>
    <row customHeight="1" ht="16.575" hidden="1">
      <c r="E34" s="794">
        <v>17</v>
      </c>
      <c r="F34" s="920" cm="1" t="str">
        <f t="array" ref="F34:F34">F33</f>
        <v>0</v>
      </c>
      <c r="G34" s="190" t="s">
        <v>1151</v>
      </c>
      <c r="T34" s="816">
        <f>F34&gt;0</f>
        <v>0</v>
      </c>
      <c r="AB34" s="283">
        <v>2</v>
      </c>
      <c r="AC34" s="278" t="s">
        <v>1152</v>
      </c>
      <c r="AD34" s="277" t="s">
        <v>799</v>
      </c>
      <c r="AE34" s="279">
        <f>SUMIF($AD35:$AD39,$AD34,AE35:AE39)</f>
        <v>0</v>
      </c>
      <c r="AF34" s="279">
        <f>SUMIF($AD35:$AD39,$AD34,AF35:AF39)</f>
        <v>0</v>
      </c>
      <c r="AG34" s="279">
        <f>SUMIF($AD35:$AD39,$AD34,AG35:AG39)</f>
        <v>0</v>
      </c>
      <c r="AH34" s="279">
        <f>SUMIF($AD35:$AD39,$AD34,AH35:AH39)</f>
        <v>0</v>
      </c>
      <c r="AI34" s="279">
        <f>SUMIF($AD35:$AD39,$AD34,AI35:AI39)</f>
        <v>0</v>
      </c>
      <c r="AJ34" s="1848">
        <f>SUMIF($AD35:$AD39,$AD34,AJ35:AJ39)</f>
        <v>0</v>
      </c>
      <c r="AK34" s="1848">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8">
        <f>SUMIF($AD35:$AD39,$AD34,AT35:AT39)</f>
        <v>0</v>
      </c>
      <c r="AU34" s="1848">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1153</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1151</v>
      </c>
      <c r="H36" s="152" cm="1" t="str">
        <f t="array" ref="H36:H36">AC36</f>
        <v>0</v>
      </c>
      <c r="T36" s="816">
        <f>AND(F36&gt;0,Y36&gt;0)</f>
        <v>0</v>
      </c>
      <c r="W36" s="156" t="s">
        <v>235</v>
      </c>
      <c r="Y36" s="156">
        <v>0</v>
      </c>
      <c r="AA36" s="1513" t="s">
        <v>219</v>
      </c>
      <c r="AB36" s="285" t="str">
        <f>"2."&amp;Y36</f>
        <v>2.0</v>
      </c>
      <c r="AC36" s="460"/>
      <c r="AD36" s="277" t="s">
        <v>799</v>
      </c>
      <c r="AE36" s="1852">
        <f>AE37*AE38</f>
        <v>0</v>
      </c>
      <c r="AF36" s="62"/>
      <c r="AG36" s="62"/>
      <c r="AH36" s="1852">
        <f>AH37*AH38</f>
        <v>0</v>
      </c>
      <c r="AI36" s="280"/>
      <c r="AJ36" s="1664"/>
      <c r="AK36" s="1664"/>
      <c r="AL36" s="62"/>
      <c r="AM36" s="62"/>
      <c r="AN36" s="62"/>
      <c r="AO36" s="62"/>
      <c r="AP36" s="62"/>
      <c r="AQ36" s="62"/>
      <c r="AR36" s="62"/>
      <c r="AS36" s="1853">
        <f>AS37*AS38</f>
        <v>0</v>
      </c>
      <c r="AT36" s="1853">
        <f>AT37*AT38</f>
        <v>0</v>
      </c>
      <c r="AU36" s="1853">
        <f>AU37*AU38</f>
        <v>0</v>
      </c>
      <c r="AV36" s="1852">
        <f>AV37*AV38</f>
        <v>0</v>
      </c>
      <c r="AW36" s="1852">
        <f>AW37*AW38</f>
        <v>0</v>
      </c>
      <c r="AX36" s="1852">
        <f>AX37*AX38</f>
        <v>0</v>
      </c>
      <c r="AY36" s="1852">
        <f>AY37*AY38</f>
        <v>0</v>
      </c>
      <c r="AZ36" s="1852">
        <f>AZ37*AZ38</f>
        <v>0</v>
      </c>
      <c r="BA36" s="1852">
        <f>BA37*BA38</f>
        <v>0</v>
      </c>
      <c r="BB36" s="1852">
        <f>BB37*BB38</f>
        <v>0</v>
      </c>
      <c r="BC36" s="74"/>
      <c r="BF36" s="1222" t="s">
        <v>1154</v>
      </c>
      <c r="BG36" s="1222" t="s">
        <v>1155</v>
      </c>
      <c r="BH36" s="1222" cm="1" t="str">
        <f t="array" ref="BH36:BH36">AC36</f>
        <v>0</v>
      </c>
      <c r="BI36" s="1222" cm="1" t="str">
        <f t="array" ref="BI36:BI36">AD38</f>
        <v>тыс.куб.м</v>
      </c>
      <c r="BK36" s="1223" t="b">
        <v>1</v>
      </c>
    </row>
    <row s="1642" customFormat="1" customHeight="1" ht="16.5" hidden="1">
      <c r="B37" s="925"/>
      <c r="C37" s="1400"/>
      <c r="D37" s="1400"/>
      <c r="E37" s="923">
        <v>17</v>
      </c>
      <c r="F37" s="920" cm="1" t="str">
        <f t="array" ref="F37:F37">F35</f>
        <v>0</v>
      </c>
      <c r="G37" s="190" t="s">
        <v>201</v>
      </c>
      <c r="H37" s="1512" cm="1" t="str">
        <f t="array" ref="H37:H37">H36</f>
        <v>0</v>
      </c>
      <c r="I37" s="1512"/>
      <c r="J37" s="1512"/>
      <c r="K37" s="1512"/>
      <c r="L37" s="1512"/>
      <c r="M37" s="1512"/>
      <c r="N37" s="1512"/>
      <c r="O37" s="1512"/>
      <c r="P37" s="1512"/>
      <c r="Q37" s="190"/>
      <c r="R37" s="190"/>
      <c r="S37" s="1512"/>
      <c r="T37" s="947" cm="1" t="str">
        <f t="array" ref="T37:T37">T36</f>
        <v>false</v>
      </c>
      <c r="U37" s="1498"/>
      <c r="V37" s="1498"/>
      <c r="W37" s="1498"/>
      <c r="X37" s="1498"/>
      <c r="Y37" s="1498"/>
      <c r="Z37" s="1498"/>
      <c r="AA37" s="1513"/>
      <c r="AB37" s="512" t="str">
        <f>AB36&amp;".1"</f>
        <v>2.0.1</v>
      </c>
      <c r="AC37" s="489" t="s">
        <v>910</v>
      </c>
      <c r="AD37" s="1892" t="s">
        <v>242</v>
      </c>
      <c r="AE37" s="1876"/>
      <c r="AF37" s="701">
        <f>IF(AF38=0,0,AF36/AF38)</f>
        <v>0</v>
      </c>
      <c r="AG37" s="701">
        <f>IF(AG38=0,0,AG36/AG38)</f>
        <v>0</v>
      </c>
      <c r="AH37" s="1876"/>
      <c r="AI37" s="701">
        <f>IF(AI38=0,0,AI36/AI38)</f>
        <v>0</v>
      </c>
      <c r="AJ37" s="1853">
        <f>IF(AJ38=0,0,AJ36/AJ38)</f>
        <v>0</v>
      </c>
      <c r="AK37" s="1853">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4"/>
      <c r="AU37" s="1664"/>
      <c r="AV37" s="1876"/>
      <c r="AW37" s="1876"/>
      <c r="AX37" s="1876"/>
      <c r="AY37" s="1876"/>
      <c r="AZ37" s="1876"/>
      <c r="BA37" s="1876"/>
      <c r="BB37" s="1876"/>
      <c r="BC37" s="1847"/>
      <c r="BD37" s="220"/>
      <c r="BE37" s="220"/>
      <c r="BF37" s="1222" t="s">
        <v>1156</v>
      </c>
      <c r="BG37" s="1222" t="s">
        <v>1155</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201</v>
      </c>
      <c r="H38" s="152" cm="1" t="str">
        <f t="array" ref="H38:H38">H36</f>
        <v>0</v>
      </c>
      <c r="T38" s="816" cm="1" t="str">
        <f t="array" ref="T38:T38">T36</f>
        <v>false</v>
      </c>
      <c r="AA38" s="1513"/>
      <c r="AB38" s="285" t="str">
        <f>AB36&amp;".2"</f>
        <v>2.0.2</v>
      </c>
      <c r="AC38" s="291" t="s">
        <v>1149</v>
      </c>
      <c r="AD38" s="1892" t="s">
        <v>968</v>
      </c>
      <c r="AE38" s="62"/>
      <c r="AF38" s="62"/>
      <c r="AG38" s="62"/>
      <c r="AH38" s="62"/>
      <c r="AI38" s="280"/>
      <c r="AJ38" s="1664"/>
      <c r="AK38" s="1664"/>
      <c r="AL38" s="62"/>
      <c r="AM38" s="62"/>
      <c r="AN38" s="62"/>
      <c r="AO38" s="62"/>
      <c r="AP38" s="62"/>
      <c r="AQ38" s="62"/>
      <c r="AR38" s="62"/>
      <c r="AS38" s="280"/>
      <c r="AT38" s="1664"/>
      <c r="AU38" s="1664"/>
      <c r="AV38" s="62"/>
      <c r="AW38" s="62"/>
      <c r="AX38" s="62"/>
      <c r="AY38" s="62"/>
      <c r="AZ38" s="62"/>
      <c r="BA38" s="62"/>
      <c r="BB38" s="62"/>
      <c r="BC38" s="74"/>
      <c r="BF38" s="1222" t="s">
        <v>1157</v>
      </c>
      <c r="BG38" s="1222" t="s">
        <v>1155</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1158</v>
      </c>
      <c r="AB39" s="299"/>
      <c r="AC39" s="300" t="s">
        <v>946</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1155</v>
      </c>
    </row>
    <row customHeight="1" ht="16.575" hidden="1">
      <c r="E40" s="794">
        <v>17</v>
      </c>
      <c r="F40" s="920" cm="1" t="str">
        <f t="array" ref="F40:F40">F39</f>
        <v>0</v>
      </c>
      <c r="G40" s="190" t="s">
        <v>1159</v>
      </c>
      <c r="T40" s="816">
        <f>F40&gt;0</f>
        <v>0</v>
      </c>
      <c r="AB40" s="283">
        <v>3</v>
      </c>
      <c r="AC40" s="278" t="s">
        <v>1160</v>
      </c>
      <c r="AD40" s="277" t="s">
        <v>799</v>
      </c>
      <c r="AE40" s="279">
        <f>SUMIF($AD41:$AD45,$AD40,AE41:AE45)</f>
        <v>0</v>
      </c>
      <c r="AF40" s="279">
        <f>SUMIF($AD41:$AD45,$AD40,AF41:AF45)</f>
        <v>0</v>
      </c>
      <c r="AG40" s="279">
        <f>SUMIF($AD41:$AD45,$AD40,AG41:AG45)</f>
        <v>0</v>
      </c>
      <c r="AH40" s="279">
        <f>SUMIF($AD41:$AD45,$AD40,AH41:AH45)</f>
        <v>0</v>
      </c>
      <c r="AI40" s="279">
        <f>SUMIF($AD41:$AD45,$AD40,AI41:AI45)</f>
        <v>0</v>
      </c>
      <c r="AJ40" s="1848">
        <f>SUMIF($AD41:$AD45,$AD40,AJ41:AJ45)</f>
        <v>0</v>
      </c>
      <c r="AK40" s="1848">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48">
        <f>SUMIF($AD41:$AD45,$AD40,AT41:AT45)</f>
        <v>0</v>
      </c>
      <c r="AU40" s="1848">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1161</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1159</v>
      </c>
      <c r="H42" s="152" cm="1" t="str">
        <f t="array" ref="H42:H42">AC42</f>
        <v>0</v>
      </c>
      <c r="T42" s="816">
        <f>AND(F42&gt;0,Y42&gt;0)</f>
        <v>0</v>
      </c>
      <c r="W42" s="156" t="s">
        <v>235</v>
      </c>
      <c r="Y42" s="156">
        <v>0</v>
      </c>
      <c r="AA42" s="1513" t="s">
        <v>219</v>
      </c>
      <c r="AB42" s="285" t="str">
        <f>"3."&amp;Y42</f>
        <v>3.0</v>
      </c>
      <c r="AC42" s="55"/>
      <c r="AD42" s="277" t="s">
        <v>799</v>
      </c>
      <c r="AE42" s="1852">
        <f>AE43*AE44</f>
        <v>0</v>
      </c>
      <c r="AF42" s="62"/>
      <c r="AG42" s="62"/>
      <c r="AH42" s="1852">
        <f>AH43*AH44</f>
        <v>0</v>
      </c>
      <c r="AI42" s="280"/>
      <c r="AJ42" s="1664"/>
      <c r="AK42" s="1664"/>
      <c r="AL42" s="62"/>
      <c r="AM42" s="62"/>
      <c r="AN42" s="62"/>
      <c r="AO42" s="62"/>
      <c r="AP42" s="62"/>
      <c r="AQ42" s="62"/>
      <c r="AR42" s="62"/>
      <c r="AS42" s="1853">
        <f>AS43*AS44</f>
        <v>0</v>
      </c>
      <c r="AT42" s="1853">
        <f>AT43*AT44</f>
        <v>0</v>
      </c>
      <c r="AU42" s="1853">
        <f>AU43*AU44</f>
        <v>0</v>
      </c>
      <c r="AV42" s="1852">
        <f>AV43*AV44</f>
        <v>0</v>
      </c>
      <c r="AW42" s="1852">
        <f>AW43*AW44</f>
        <v>0</v>
      </c>
      <c r="AX42" s="1852">
        <f>AX43*AX44</f>
        <v>0</v>
      </c>
      <c r="AY42" s="1852">
        <f>AY43*AY44</f>
        <v>0</v>
      </c>
      <c r="AZ42" s="1852">
        <f>AZ43*AZ44</f>
        <v>0</v>
      </c>
      <c r="BA42" s="1852">
        <f>BA43*BA44</f>
        <v>0</v>
      </c>
      <c r="BB42" s="1852">
        <f>BB43*BB44</f>
        <v>0</v>
      </c>
      <c r="BC42" s="74"/>
      <c r="BF42" s="1222" t="s">
        <v>1162</v>
      </c>
      <c r="BG42" s="1222" t="s">
        <v>1163</v>
      </c>
      <c r="BH42" s="1222" cm="1" t="str">
        <f t="array" ref="BH42:BH42">AC42</f>
        <v>0</v>
      </c>
      <c r="BI42" s="1222" cm="1" t="str">
        <f t="array" ref="BI42:BI42">AD44</f>
        <v>0</v>
      </c>
      <c r="BK42" s="1223" t="b">
        <v>1</v>
      </c>
    </row>
    <row s="1642" customFormat="1" customHeight="1" ht="16.5" hidden="1">
      <c r="B43" s="925"/>
      <c r="C43" s="1400"/>
      <c r="D43" s="1400"/>
      <c r="E43" s="923">
        <v>17</v>
      </c>
      <c r="F43" s="920" cm="1" t="str">
        <f t="array" ref="F43:F43">F41</f>
        <v>0</v>
      </c>
      <c r="G43" s="190" t="s">
        <v>269</v>
      </c>
      <c r="H43" s="1512" cm="1" t="str">
        <f t="array" ref="H43:H43">H42</f>
        <v>0</v>
      </c>
      <c r="I43" s="1512"/>
      <c r="J43" s="1512"/>
      <c r="K43" s="1512"/>
      <c r="L43" s="1512"/>
      <c r="M43" s="1512"/>
      <c r="N43" s="1512"/>
      <c r="O43" s="1512"/>
      <c r="P43" s="1512"/>
      <c r="Q43" s="190"/>
      <c r="R43" s="190"/>
      <c r="S43" s="1512"/>
      <c r="T43" s="947" cm="1" t="str">
        <f t="array" ref="T43:T43">T42</f>
        <v>false</v>
      </c>
      <c r="U43" s="1498"/>
      <c r="V43" s="1498"/>
      <c r="W43" s="1498"/>
      <c r="X43" s="1498"/>
      <c r="Y43" s="1498"/>
      <c r="Z43" s="1498"/>
      <c r="AA43" s="1513"/>
      <c r="AB43" s="512" t="str">
        <f>AB42&amp;".1"</f>
        <v>3.0.1</v>
      </c>
      <c r="AC43" s="489" t="s">
        <v>910</v>
      </c>
      <c r="AD43" s="1893" t="s">
        <v>242</v>
      </c>
      <c r="AE43" s="1876"/>
      <c r="AF43" s="701">
        <f>IF(AF44=0,0,AF42/AF44)</f>
        <v>0</v>
      </c>
      <c r="AG43" s="701">
        <f>IF(AG44=0,0,AG42/AG44)</f>
        <v>0</v>
      </c>
      <c r="AH43" s="1876"/>
      <c r="AI43" s="701">
        <f>IF(AI44=0,0,AI42/AI44)</f>
        <v>0</v>
      </c>
      <c r="AJ43" s="1853">
        <f>IF(AJ44=0,0,AJ42/AJ44)</f>
        <v>0</v>
      </c>
      <c r="AK43" s="1853">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64"/>
      <c r="AU43" s="1664"/>
      <c r="AV43" s="1876"/>
      <c r="AW43" s="1876"/>
      <c r="AX43" s="1876"/>
      <c r="AY43" s="1876"/>
      <c r="AZ43" s="1876"/>
      <c r="BA43" s="1876"/>
      <c r="BB43" s="1876"/>
      <c r="BC43" s="1847"/>
      <c r="BD43" s="220"/>
      <c r="BE43" s="220"/>
      <c r="BF43" s="1222" t="s">
        <v>1164</v>
      </c>
      <c r="BG43" s="1222" t="s">
        <v>1163</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269</v>
      </c>
      <c r="H44" s="152" cm="1" t="str">
        <f t="array" ref="H44:H44">H42</f>
        <v>0</v>
      </c>
      <c r="T44" s="816" cm="1" t="str">
        <f t="array" ref="T44:T44">T42</f>
        <v>false</v>
      </c>
      <c r="AA44" s="1513"/>
      <c r="AB44" s="285" t="str">
        <f>AB42&amp;".2"</f>
        <v>3.0.2</v>
      </c>
      <c r="AC44" s="291" t="s">
        <v>1149</v>
      </c>
      <c r="AD44" s="1893"/>
      <c r="AE44" s="62"/>
      <c r="AF44" s="62"/>
      <c r="AG44" s="62"/>
      <c r="AH44" s="62"/>
      <c r="AI44" s="280"/>
      <c r="AJ44" s="1664"/>
      <c r="AK44" s="1664"/>
      <c r="AL44" s="62"/>
      <c r="AM44" s="62"/>
      <c r="AN44" s="62"/>
      <c r="AO44" s="62"/>
      <c r="AP44" s="62"/>
      <c r="AQ44" s="62"/>
      <c r="AR44" s="62"/>
      <c r="AS44" s="280"/>
      <c r="AT44" s="1664"/>
      <c r="AU44" s="1664"/>
      <c r="AV44" s="62"/>
      <c r="AW44" s="62"/>
      <c r="AX44" s="62"/>
      <c r="AY44" s="62"/>
      <c r="AZ44" s="62"/>
      <c r="BA44" s="62"/>
      <c r="BB44" s="62"/>
      <c r="BC44" s="74"/>
      <c r="BF44" s="1222" t="s">
        <v>1165</v>
      </c>
      <c r="BG44" s="1222" t="s">
        <v>1163</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1166</v>
      </c>
      <c r="AB45" s="299"/>
      <c r="AC45" s="300" t="s">
        <v>946</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1163</v>
      </c>
    </row>
    <row s="1642" customFormat="1" customHeight="1" ht="10.5">
      <c r="A46" s="1400"/>
      <c r="B46" s="925"/>
      <c r="C46" s="1400"/>
      <c r="D46" s="1400"/>
      <c r="E46" s="794">
        <v>11.4</v>
      </c>
      <c r="F46" s="920" cm="1" t="str">
        <f t="array" ref="F46:F46">X46</f>
        <v>1</v>
      </c>
      <c r="G46" s="190" t="s">
        <v>1146</v>
      </c>
      <c r="H46" s="1512"/>
      <c r="I46" s="1512"/>
      <c r="J46" s="1512"/>
      <c r="K46" s="1512"/>
      <c r="L46" s="1512"/>
      <c r="M46" s="1512"/>
      <c r="N46" s="1512"/>
      <c r="O46" s="1512"/>
      <c r="P46" s="1512"/>
      <c r="Q46" s="190"/>
      <c r="R46" s="190"/>
      <c r="S46" s="1512"/>
      <c r="T46" s="816">
        <f>X46&gt;0</f>
        <v>1</v>
      </c>
      <c r="U46" s="1498"/>
      <c r="V46" s="172" cm="1" t="str">
        <f t="array" ref="V46:V46">Аренда!$AB$39</f>
        <v>Тариф 1 (Теплоснабжение) - Тарифы на услуги по передаче тепловой энергии, теплоносителя (Не определено)</v>
      </c>
      <c r="W46" s="1498"/>
      <c r="X46" s="156" t="s">
        <v>337</v>
      </c>
      <c r="Y46" s="1498"/>
      <c r="Z46" s="1498"/>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42" customFormat="1" customHeight="1" ht="10.5">
      <c r="A47" s="1400"/>
      <c r="B47" s="925"/>
      <c r="C47" s="1400"/>
      <c r="D47" s="1400"/>
      <c r="E47" s="794">
        <v>11.4</v>
      </c>
      <c r="F47" s="920" cm="1" t="str">
        <f t="array" ref="F47:F47">F46</f>
        <v>1</v>
      </c>
      <c r="G47" s="190" t="s">
        <v>431</v>
      </c>
      <c r="H47" s="1512"/>
      <c r="I47" s="1512"/>
      <c r="J47" s="1512"/>
      <c r="K47" s="1512"/>
      <c r="L47" s="1512"/>
      <c r="M47" s="1512"/>
      <c r="N47" s="1512"/>
      <c r="O47" s="1512"/>
      <c r="P47" s="1512"/>
      <c r="Q47" s="190"/>
      <c r="R47" s="190"/>
      <c r="S47" s="1512"/>
      <c r="T47" s="816" cm="1" t="str">
        <f t="array" ref="T47:T47">T46</f>
        <v>true</v>
      </c>
      <c r="U47" s="1498"/>
      <c r="V47" s="1498"/>
      <c r="W47" s="1498"/>
      <c r="X47" s="1498"/>
      <c r="Y47" s="1498"/>
      <c r="Z47" s="1498"/>
      <c r="AA47" s="220"/>
      <c r="AB47" s="283">
        <v>1</v>
      </c>
      <c r="AC47" s="278" t="s">
        <v>1147</v>
      </c>
      <c r="AD47" s="277" t="s">
        <v>799</v>
      </c>
      <c r="AE47" s="279">
        <f>SUMIF($AD48:$AD52,$AD47,AE48:AE52)</f>
        <v>0</v>
      </c>
      <c r="AF47" s="279">
        <f>SUMIF($AD48:$AD52,$AD47,AF48:AF52)</f>
        <v>0</v>
      </c>
      <c r="AG47" s="279">
        <f>SUMIF($AD48:$AD52,$AD47,AG48:AG52)</f>
        <v>0</v>
      </c>
      <c r="AH47" s="279">
        <f>SUMIF($AD48:$AD52,$AD47,AH48:AH52)</f>
        <v>0</v>
      </c>
      <c r="AI47" s="279">
        <f>SUMIF($AD48:$AD52,$AD47,AI48:AI52)</f>
        <v>0</v>
      </c>
      <c r="AJ47" s="1848">
        <f>SUMIF($AD48:$AD52,$AD47,AJ48:AJ52)</f>
        <v>0</v>
      </c>
      <c r="AK47" s="1848">
        <f>SUMIF($AD48:$AD52,$AD47,AK48:AK52)</f>
        <v>0</v>
      </c>
      <c r="AL47" s="1863">
        <f>SUMIF($AD48:$AD52,$AD47,AL48:AL52)</f>
        <v>0</v>
      </c>
      <c r="AM47" s="1863">
        <f>SUMIF($AD48:$AD52,$AD47,AM48:AM52)</f>
        <v>0</v>
      </c>
      <c r="AN47" s="1863">
        <f>SUMIF($AD48:$AD52,$AD47,AN48:AN52)</f>
        <v>0</v>
      </c>
      <c r="AO47" s="1863">
        <f>SUMIF($AD48:$AD52,$AD47,AO48:AO52)</f>
        <v>0</v>
      </c>
      <c r="AP47" s="1863">
        <f>SUMIF($AD48:$AD52,$AD47,AP48:AP52)</f>
        <v>0</v>
      </c>
      <c r="AQ47" s="1863">
        <f>SUMIF($AD48:$AD52,$AD47,AQ48:AQ52)</f>
        <v>0</v>
      </c>
      <c r="AR47" s="1863">
        <f>SUMIF($AD48:$AD52,$AD47,AR48:AR52)</f>
        <v>0</v>
      </c>
      <c r="AS47" s="279">
        <f>SUMIF($AD48:$AD52,$AD47,AS48:AS52)</f>
        <v>0</v>
      </c>
      <c r="AT47" s="1848">
        <f>SUMIF($AD48:$AD52,$AD47,AT48:AT52)</f>
        <v>0</v>
      </c>
      <c r="AU47" s="1848">
        <f>SUMIF($AD48:$AD52,$AD47,AU48:AU52)</f>
        <v>0</v>
      </c>
      <c r="AV47" s="1863">
        <f>SUMIF($AD48:$AD52,$AD47,AV48:AV52)</f>
        <v>0</v>
      </c>
      <c r="AW47" s="1863">
        <f>SUMIF($AD48:$AD52,$AD47,AW48:AW52)</f>
        <v>0</v>
      </c>
      <c r="AX47" s="1863">
        <f>SUMIF($AD48:$AD52,$AD47,AX48:AX52)</f>
        <v>0</v>
      </c>
      <c r="AY47" s="1863">
        <f>SUMIF($AD48:$AD52,$AD47,AY48:AY52)</f>
        <v>0</v>
      </c>
      <c r="AZ47" s="1863">
        <f>SUMIF($AD48:$AD52,$AD47,AZ48:AZ52)</f>
        <v>0</v>
      </c>
      <c r="BA47" s="1863">
        <f>SUMIF($AD48:$AD52,$AD47,BA48:BA52)</f>
        <v>0</v>
      </c>
      <c r="BB47" s="1863">
        <f>SUMIF($AD48:$AD52,$AD47,BB48:BB52)</f>
        <v>0</v>
      </c>
      <c r="BC47" s="1792"/>
      <c r="BD47" s="220"/>
      <c r="BE47" s="220"/>
      <c r="BF47" s="1222" t="s">
        <v>973</v>
      </c>
      <c r="BG47" s="1222"/>
      <c r="BH47" s="1222"/>
      <c r="BI47" s="1222"/>
      <c r="BJ47" s="1223"/>
      <c r="BK47" s="1223"/>
    </row>
    <row s="1642" customFormat="1" customHeight="1" ht="0" hidden="1">
      <c r="A48" s="1400"/>
      <c r="B48" s="925"/>
      <c r="C48" s="1400"/>
      <c r="D48" s="1400"/>
      <c r="E48" s="794">
        <v>0.2</v>
      </c>
      <c r="F48" s="920" cm="1" t="str">
        <f t="array" ref="F48:F48">F47</f>
        <v>1</v>
      </c>
      <c r="G48" s="1512"/>
      <c r="H48" s="1512"/>
      <c r="I48" s="1512"/>
      <c r="J48" s="1512"/>
      <c r="K48" s="1512"/>
      <c r="L48" s="1512"/>
      <c r="M48" s="1512"/>
      <c r="N48" s="1512"/>
      <c r="O48" s="1512"/>
      <c r="P48" s="1512"/>
      <c r="Q48" s="190"/>
      <c r="R48" s="190"/>
      <c r="S48" s="1512"/>
      <c r="T48" s="816" t="b">
        <v>0</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42" customFormat="1" customHeight="1" ht="17.25" hidden="1">
      <c r="A49" s="1123" t="str">
        <f>"checkCosts_1."&amp;F49&amp;"."&amp;Y49</f>
        <v>checkCosts_1.1.0</v>
      </c>
      <c r="B49" s="925"/>
      <c r="C49" s="1400"/>
      <c r="D49" s="1400"/>
      <c r="E49" s="794">
        <v>18</v>
      </c>
      <c r="F49" s="920" cm="1" t="str">
        <f t="array" ref="F49:F49">OFFSET(G49,-1,-1)</f>
        <v>1</v>
      </c>
      <c r="G49" s="190" t="s">
        <v>431</v>
      </c>
      <c r="H49" s="152" cm="1" t="str">
        <f t="array" ref="H49:H49">AC49</f>
        <v>0</v>
      </c>
      <c r="I49" s="1512"/>
      <c r="J49" s="1512"/>
      <c r="K49" s="1512"/>
      <c r="L49" s="1512"/>
      <c r="M49" s="1512"/>
      <c r="N49" s="1512"/>
      <c r="O49" s="1512"/>
      <c r="P49" s="1512"/>
      <c r="Q49" s="190"/>
      <c r="R49" s="190"/>
      <c r="S49" s="1512"/>
      <c r="T49" s="816">
        <f>AND(F49&gt;0,Y49&gt;0)</f>
        <v>0</v>
      </c>
      <c r="U49" s="1498"/>
      <c r="V49" s="1498"/>
      <c r="W49" s="156" t="s">
        <v>235</v>
      </c>
      <c r="X49" s="1498"/>
      <c r="Y49" s="156">
        <v>0</v>
      </c>
      <c r="Z49" s="1498"/>
      <c r="AA49" s="1513" t="s">
        <v>219</v>
      </c>
      <c r="AB49" s="285" t="str">
        <f>"1."&amp;Y49</f>
        <v>1.0</v>
      </c>
      <c r="AC49" s="460"/>
      <c r="AD49" s="277" t="s">
        <v>799</v>
      </c>
      <c r="AE49" s="1852">
        <f>AE50*AE51/1000</f>
        <v>0</v>
      </c>
      <c r="AF49" s="62"/>
      <c r="AG49" s="62"/>
      <c r="AH49" s="1852">
        <f>AH50*AH51/1000</f>
        <v>0</v>
      </c>
      <c r="AI49" s="280"/>
      <c r="AJ49" s="1664"/>
      <c r="AK49" s="1664"/>
      <c r="AL49" s="62"/>
      <c r="AM49" s="62"/>
      <c r="AN49" s="62"/>
      <c r="AO49" s="62"/>
      <c r="AP49" s="62"/>
      <c r="AQ49" s="62"/>
      <c r="AR49" s="62"/>
      <c r="AS49" s="1853">
        <f>AS50*AS51/1000</f>
        <v>0</v>
      </c>
      <c r="AT49" s="1853">
        <f>AT50*AT51/1000</f>
        <v>0</v>
      </c>
      <c r="AU49" s="1853">
        <f>AU50*AU51/1000</f>
        <v>0</v>
      </c>
      <c r="AV49" s="1852">
        <f>AV50*AV51/1000</f>
        <v>0</v>
      </c>
      <c r="AW49" s="1852">
        <f>AW50*AW51/1000</f>
        <v>0</v>
      </c>
      <c r="AX49" s="1852">
        <f>AX50*AX51/1000</f>
        <v>0</v>
      </c>
      <c r="AY49" s="1852">
        <f>AY50*AY51/1000</f>
        <v>0</v>
      </c>
      <c r="AZ49" s="1852">
        <f>AZ50*AZ51/1000</f>
        <v>0</v>
      </c>
      <c r="BA49" s="1852">
        <f>BA50*BA51/1000</f>
        <v>0</v>
      </c>
      <c r="BB49" s="1852">
        <f>BB50*BB51/1000</f>
        <v>0</v>
      </c>
      <c r="BC49" s="74"/>
      <c r="BD49" s="220"/>
      <c r="BE49" s="220"/>
      <c r="BF49" s="1222" t="s">
        <v>974</v>
      </c>
      <c r="BG49" s="1222" t="s">
        <v>1148</v>
      </c>
      <c r="BH49" s="1222" cm="1" t="str">
        <f t="array" ref="BH49:BH49">AC49</f>
        <v>0</v>
      </c>
      <c r="BI49" s="1222" cm="1" t="str">
        <f t="array" ref="BI49:BI49">AD51</f>
        <v>Гкал</v>
      </c>
      <c r="BJ49" s="1223"/>
      <c r="BK49" s="1223" t="b">
        <v>1</v>
      </c>
    </row>
    <row s="1642" customFormat="1" customHeight="1" ht="16.5" hidden="1">
      <c r="B50" s="925"/>
      <c r="C50" s="1400"/>
      <c r="D50" s="1400"/>
      <c r="E50" s="923">
        <v>17</v>
      </c>
      <c r="F50" s="920" cm="1" t="str">
        <f t="array" ref="F50:F50">F48</f>
        <v>1</v>
      </c>
      <c r="G50" s="190" t="s">
        <v>191</v>
      </c>
      <c r="H50" s="1512" cm="1" t="str">
        <f t="array" ref="H50:H50">H49</f>
        <v>0</v>
      </c>
      <c r="I50" s="1512"/>
      <c r="J50" s="1512"/>
      <c r="K50" s="1512"/>
      <c r="L50" s="1512"/>
      <c r="M50" s="1512"/>
      <c r="N50" s="1512"/>
      <c r="O50" s="1512"/>
      <c r="P50" s="1512"/>
      <c r="Q50" s="190"/>
      <c r="R50" s="190"/>
      <c r="S50" s="1512"/>
      <c r="T50" s="947" cm="1" t="str">
        <f t="array" ref="T50:T50">T49</f>
        <v>false</v>
      </c>
      <c r="U50" s="1498"/>
      <c r="V50" s="1498"/>
      <c r="W50" s="1498"/>
      <c r="X50" s="1498"/>
      <c r="Y50" s="1498"/>
      <c r="Z50" s="1498"/>
      <c r="AA50" s="1513"/>
      <c r="AB50" s="512" t="str">
        <f>AB49&amp;".1"</f>
        <v>1.0.1</v>
      </c>
      <c r="AC50" s="489" t="s">
        <v>910</v>
      </c>
      <c r="AD50" s="1892" t="s">
        <v>242</v>
      </c>
      <c r="AE50" s="1876"/>
      <c r="AF50" s="701">
        <f>IF(AF51=0,0,AF49/AF51)*1000</f>
        <v>0</v>
      </c>
      <c r="AG50" s="701">
        <f>IF(AG51=0,0,AG49/AG51)*1000</f>
        <v>0</v>
      </c>
      <c r="AH50" s="1876"/>
      <c r="AI50" s="701">
        <f>IF(AI51=0,0,AI49/AI51)*1000</f>
        <v>0</v>
      </c>
      <c r="AJ50" s="1853">
        <f>IF(AJ51=0,0,AJ49/AJ51)*1000</f>
        <v>0</v>
      </c>
      <c r="AK50" s="1853">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64"/>
      <c r="AU50" s="1664"/>
      <c r="AV50" s="1876"/>
      <c r="AW50" s="1876"/>
      <c r="AX50" s="1876"/>
      <c r="AY50" s="1876"/>
      <c r="AZ50" s="1876"/>
      <c r="BA50" s="1876"/>
      <c r="BB50" s="1876"/>
      <c r="BC50" s="1847"/>
      <c r="BD50" s="220"/>
      <c r="BE50" s="220"/>
      <c r="BF50" s="1222" t="s">
        <v>976</v>
      </c>
      <c r="BG50" s="1222" t="s">
        <v>1148</v>
      </c>
      <c r="BH50" s="1222" cm="1" t="str">
        <f t="array" ref="BH50:BH50">BH49</f>
        <v>0</v>
      </c>
      <c r="BI50" s="1222" cm="1" t="str">
        <f t="array" ref="BI50:BI50">BI49</f>
        <v>Гкал</v>
      </c>
      <c r="BJ50" s="1223"/>
      <c r="BK50" s="1223"/>
    </row>
    <row s="1642" customFormat="1" customHeight="1" ht="16.5" hidden="1">
      <c r="A51" s="1123" t="str">
        <f>"checkVolume_1."&amp;F51&amp;"."&amp;Y49</f>
        <v>checkVolume_1.1.0</v>
      </c>
      <c r="B51" s="925"/>
      <c r="C51" s="1400"/>
      <c r="D51" s="1400"/>
      <c r="E51" s="794">
        <v>17</v>
      </c>
      <c r="F51" s="920" cm="1" t="str">
        <f t="array" ref="F51:F51">F49</f>
        <v>1</v>
      </c>
      <c r="G51" s="190" t="s">
        <v>191</v>
      </c>
      <c r="H51" s="152" cm="1" t="str">
        <f t="array" ref="H51:H51">H49</f>
        <v>0</v>
      </c>
      <c r="I51" s="1512"/>
      <c r="J51" s="1512"/>
      <c r="K51" s="1512"/>
      <c r="L51" s="1512"/>
      <c r="M51" s="1512"/>
      <c r="N51" s="1512"/>
      <c r="O51" s="1512"/>
      <c r="P51" s="1512"/>
      <c r="Q51" s="190"/>
      <c r="R51" s="190"/>
      <c r="S51" s="1512"/>
      <c r="T51" s="816" cm="1" t="str">
        <f t="array" ref="T51:T51">T49</f>
        <v>false</v>
      </c>
      <c r="U51" s="1498"/>
      <c r="V51" s="1498"/>
      <c r="W51" s="1498"/>
      <c r="X51" s="1498"/>
      <c r="Y51" s="1498"/>
      <c r="Z51" s="1498"/>
      <c r="AA51" s="1513"/>
      <c r="AB51" s="285" t="str">
        <f>AB49&amp;".2"</f>
        <v>1.0.2</v>
      </c>
      <c r="AC51" s="291" t="s">
        <v>1149</v>
      </c>
      <c r="AD51" s="1892" t="s">
        <v>586</v>
      </c>
      <c r="AE51" s="62"/>
      <c r="AF51" s="62"/>
      <c r="AG51" s="62"/>
      <c r="AH51" s="62"/>
      <c r="AI51" s="280"/>
      <c r="AJ51" s="1664"/>
      <c r="AK51" s="1664"/>
      <c r="AL51" s="62"/>
      <c r="AM51" s="62"/>
      <c r="AN51" s="62"/>
      <c r="AO51" s="62"/>
      <c r="AP51" s="62"/>
      <c r="AQ51" s="62"/>
      <c r="AR51" s="62"/>
      <c r="AS51" s="280"/>
      <c r="AT51" s="1664"/>
      <c r="AU51" s="1664"/>
      <c r="AV51" s="62"/>
      <c r="AW51" s="62"/>
      <c r="AX51" s="62"/>
      <c r="AY51" s="62"/>
      <c r="AZ51" s="62"/>
      <c r="BA51" s="62"/>
      <c r="BB51" s="62"/>
      <c r="BC51" s="74"/>
      <c r="BD51" s="220"/>
      <c r="BE51" s="220"/>
      <c r="BF51" s="1222" t="s">
        <v>978</v>
      </c>
      <c r="BG51" s="1222" t="s">
        <v>1148</v>
      </c>
      <c r="BH51" s="1222" cm="1" t="str">
        <f t="array" ref="BH51:BH51">BH49</f>
        <v>0</v>
      </c>
      <c r="BI51" s="1222" cm="1" t="str">
        <f t="array" ref="BI51:BI51">BI49</f>
        <v>Гкал</v>
      </c>
      <c r="BJ51" s="1223"/>
      <c r="BK51" s="1223"/>
    </row>
    <row s="1642" customFormat="1" customHeight="1" ht="16.5">
      <c r="A52" s="1400"/>
      <c r="B52" s="925"/>
      <c r="C52" s="1400"/>
      <c r="D52" s="1400"/>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98"/>
      <c r="V52" s="1498"/>
      <c r="W52" s="371" t="s">
        <v>1150</v>
      </c>
      <c r="X52" s="1498"/>
      <c r="Y52" s="1498"/>
      <c r="Z52" s="1498"/>
      <c r="AA52" s="220"/>
      <c r="AB52" s="299"/>
      <c r="AC52" s="300" t="s">
        <v>946</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1148</v>
      </c>
      <c r="BK52" s="1223"/>
    </row>
    <row s="1642" customFormat="1" customHeight="1" ht="16.5">
      <c r="A53" s="1400"/>
      <c r="B53" s="925"/>
      <c r="C53" s="1400"/>
      <c r="D53" s="1400"/>
      <c r="E53" s="794">
        <v>17</v>
      </c>
      <c r="F53" s="920" cm="1" t="str">
        <f t="array" ref="F53:F53">F52</f>
        <v>1</v>
      </c>
      <c r="G53" s="190" t="s">
        <v>1151</v>
      </c>
      <c r="H53" s="1512"/>
      <c r="I53" s="1512"/>
      <c r="J53" s="1512"/>
      <c r="K53" s="1512"/>
      <c r="L53" s="1512"/>
      <c r="M53" s="1512"/>
      <c r="N53" s="1512"/>
      <c r="O53" s="1512"/>
      <c r="P53" s="1512"/>
      <c r="Q53" s="190"/>
      <c r="R53" s="190"/>
      <c r="S53" s="1512"/>
      <c r="T53" s="816">
        <f>F53&gt;0</f>
        <v>1</v>
      </c>
      <c r="U53" s="1498"/>
      <c r="V53" s="1498"/>
      <c r="W53" s="1498"/>
      <c r="X53" s="1498"/>
      <c r="Y53" s="1498"/>
      <c r="Z53" s="1498"/>
      <c r="AA53" s="220"/>
      <c r="AB53" s="283">
        <v>2</v>
      </c>
      <c r="AC53" s="278" t="s">
        <v>1152</v>
      </c>
      <c r="AD53" s="277" t="s">
        <v>799</v>
      </c>
      <c r="AE53" s="279">
        <f>SUMIF($AD54:$AD58,$AD53,AE54:AE58)</f>
        <v>0</v>
      </c>
      <c r="AF53" s="279">
        <f>SUMIF($AD54:$AD58,$AD53,AF54:AF58)</f>
        <v>0</v>
      </c>
      <c r="AG53" s="279">
        <f>SUMIF($AD54:$AD58,$AD53,AG54:AG58)</f>
        <v>0</v>
      </c>
      <c r="AH53" s="279">
        <f>SUMIF($AD54:$AD58,$AD53,AH54:AH58)</f>
        <v>0</v>
      </c>
      <c r="AI53" s="279">
        <f>SUMIF($AD54:$AD58,$AD53,AI54:AI58)</f>
        <v>0</v>
      </c>
      <c r="AJ53" s="1848">
        <f>SUMIF($AD54:$AD58,$AD53,AJ54:AJ58)</f>
        <v>0</v>
      </c>
      <c r="AK53" s="1848">
        <f>SUMIF($AD54:$AD58,$AD53,AK54:AK58)</f>
        <v>0</v>
      </c>
      <c r="AL53" s="1863">
        <f>SUMIF($AD54:$AD58,$AD53,AL54:AL58)</f>
        <v>0</v>
      </c>
      <c r="AM53" s="1863">
        <f>SUMIF($AD54:$AD58,$AD53,AM54:AM58)</f>
        <v>0</v>
      </c>
      <c r="AN53" s="1863">
        <f>SUMIF($AD54:$AD58,$AD53,AN54:AN58)</f>
        <v>0</v>
      </c>
      <c r="AO53" s="1863">
        <f>SUMIF($AD54:$AD58,$AD53,AO54:AO58)</f>
        <v>0</v>
      </c>
      <c r="AP53" s="1863">
        <f>SUMIF($AD54:$AD58,$AD53,AP54:AP58)</f>
        <v>0</v>
      </c>
      <c r="AQ53" s="1863">
        <f>SUMIF($AD54:$AD58,$AD53,AQ54:AQ58)</f>
        <v>0</v>
      </c>
      <c r="AR53" s="1863">
        <f>SUMIF($AD54:$AD58,$AD53,AR54:AR58)</f>
        <v>0</v>
      </c>
      <c r="AS53" s="279">
        <f>SUMIF($AD54:$AD58,$AD53,AS54:AS58)</f>
        <v>0</v>
      </c>
      <c r="AT53" s="1848">
        <f>SUMIF($AD54:$AD58,$AD53,AT54:AT58)</f>
        <v>0</v>
      </c>
      <c r="AU53" s="1848">
        <f>SUMIF($AD54:$AD58,$AD53,AU54:AU58)</f>
        <v>0</v>
      </c>
      <c r="AV53" s="1863">
        <f>SUMIF($AD54:$AD58,$AD53,AV54:AV58)</f>
        <v>0</v>
      </c>
      <c r="AW53" s="1863">
        <f>SUMIF($AD54:$AD58,$AD53,AW54:AW58)</f>
        <v>0</v>
      </c>
      <c r="AX53" s="1863">
        <f>SUMIF($AD54:$AD58,$AD53,AX54:AX58)</f>
        <v>0</v>
      </c>
      <c r="AY53" s="1863">
        <f>SUMIF($AD54:$AD58,$AD53,AY54:AY58)</f>
        <v>0</v>
      </c>
      <c r="AZ53" s="1863">
        <f>SUMIF($AD54:$AD58,$AD53,AZ54:AZ58)</f>
        <v>0</v>
      </c>
      <c r="BA53" s="1863">
        <f>SUMIF($AD54:$AD58,$AD53,BA54:BA58)</f>
        <v>0</v>
      </c>
      <c r="BB53" s="1863">
        <f>SUMIF($AD54:$AD58,$AD53,BB54:BB58)</f>
        <v>0</v>
      </c>
      <c r="BC53" s="1792"/>
      <c r="BD53" s="220"/>
      <c r="BE53" s="220"/>
      <c r="BF53" s="1222" t="s">
        <v>1153</v>
      </c>
      <c r="BG53" s="1222"/>
      <c r="BH53" s="1222"/>
      <c r="BI53" s="1222"/>
      <c r="BJ53" s="1223"/>
      <c r="BK53" s="1223"/>
    </row>
    <row s="1642" customFormat="1" customHeight="1" ht="0" hidden="1">
      <c r="A54" s="1400"/>
      <c r="B54" s="925"/>
      <c r="C54" s="1400"/>
      <c r="D54" s="1400"/>
      <c r="E54" s="794">
        <v>0.2</v>
      </c>
      <c r="F54" s="920" cm="1" t="str">
        <f t="array" ref="F54:F54">F53</f>
        <v>1</v>
      </c>
      <c r="G54" s="1512"/>
      <c r="H54" s="1512"/>
      <c r="I54" s="1512"/>
      <c r="J54" s="1512"/>
      <c r="K54" s="1512"/>
      <c r="L54" s="1512"/>
      <c r="M54" s="1512"/>
      <c r="N54" s="1512"/>
      <c r="O54" s="1512"/>
      <c r="P54" s="1512"/>
      <c r="Q54" s="190"/>
      <c r="R54" s="190"/>
      <c r="S54" s="1512"/>
      <c r="T54" s="816" t="b">
        <v>0</v>
      </c>
      <c r="U54" s="1498"/>
      <c r="V54" s="1498"/>
      <c r="W54" s="1498"/>
      <c r="X54" s="1498"/>
      <c r="Y54" s="1498"/>
      <c r="Z54" s="1498"/>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42" customFormat="1" customHeight="1" ht="17.25" hidden="1">
      <c r="A55" s="1123" t="str">
        <f>"checkCosts_2."&amp;F55&amp;"."&amp;Y55</f>
        <v>checkCosts_2.1.0</v>
      </c>
      <c r="B55" s="925"/>
      <c r="C55" s="1400"/>
      <c r="D55" s="1400"/>
      <c r="E55" s="794">
        <v>18</v>
      </c>
      <c r="F55" s="920" cm="1" t="str">
        <f t="array" ref="F55:F55">OFFSET(G55,-1,-1)</f>
        <v>1</v>
      </c>
      <c r="G55" s="190" t="s">
        <v>1151</v>
      </c>
      <c r="H55" s="152" cm="1" t="str">
        <f t="array" ref="H55:H55">AC55</f>
        <v>0</v>
      </c>
      <c r="I55" s="1512"/>
      <c r="J55" s="1512"/>
      <c r="K55" s="1512"/>
      <c r="L55" s="1512"/>
      <c r="M55" s="1512"/>
      <c r="N55" s="1512"/>
      <c r="O55" s="1512"/>
      <c r="P55" s="1512"/>
      <c r="Q55" s="190"/>
      <c r="R55" s="190"/>
      <c r="S55" s="1512"/>
      <c r="T55" s="816">
        <f>AND(F55&gt;0,Y55&gt;0)</f>
        <v>0</v>
      </c>
      <c r="U55" s="1498"/>
      <c r="V55" s="1498"/>
      <c r="W55" s="156" t="s">
        <v>235</v>
      </c>
      <c r="X55" s="1498"/>
      <c r="Y55" s="156">
        <v>0</v>
      </c>
      <c r="Z55" s="1498"/>
      <c r="AA55" s="1513" t="s">
        <v>219</v>
      </c>
      <c r="AB55" s="285" t="str">
        <f>"2."&amp;Y55</f>
        <v>2.0</v>
      </c>
      <c r="AC55" s="460"/>
      <c r="AD55" s="277" t="s">
        <v>799</v>
      </c>
      <c r="AE55" s="1852">
        <f>AE56*AE57</f>
        <v>0</v>
      </c>
      <c r="AF55" s="62"/>
      <c r="AG55" s="62"/>
      <c r="AH55" s="1852">
        <f>AH56*AH57</f>
        <v>0</v>
      </c>
      <c r="AI55" s="280"/>
      <c r="AJ55" s="1664"/>
      <c r="AK55" s="1664"/>
      <c r="AL55" s="62"/>
      <c r="AM55" s="62"/>
      <c r="AN55" s="62"/>
      <c r="AO55" s="62"/>
      <c r="AP55" s="62"/>
      <c r="AQ55" s="62"/>
      <c r="AR55" s="62"/>
      <c r="AS55" s="1853">
        <f>AS56*AS57</f>
        <v>0</v>
      </c>
      <c r="AT55" s="1853">
        <f>AT56*AT57</f>
        <v>0</v>
      </c>
      <c r="AU55" s="1853">
        <f>AU56*AU57</f>
        <v>0</v>
      </c>
      <c r="AV55" s="1852">
        <f>AV56*AV57</f>
        <v>0</v>
      </c>
      <c r="AW55" s="1852">
        <f>AW56*AW57</f>
        <v>0</v>
      </c>
      <c r="AX55" s="1852">
        <f>AX56*AX57</f>
        <v>0</v>
      </c>
      <c r="AY55" s="1852">
        <f>AY56*AY57</f>
        <v>0</v>
      </c>
      <c r="AZ55" s="1852">
        <f>AZ56*AZ57</f>
        <v>0</v>
      </c>
      <c r="BA55" s="1852">
        <f>BA56*BA57</f>
        <v>0</v>
      </c>
      <c r="BB55" s="1852">
        <f>BB56*BB57</f>
        <v>0</v>
      </c>
      <c r="BC55" s="74"/>
      <c r="BD55" s="220"/>
      <c r="BE55" s="220"/>
      <c r="BF55" s="1222" t="s">
        <v>1154</v>
      </c>
      <c r="BG55" s="1222" t="s">
        <v>1155</v>
      </c>
      <c r="BH55" s="1222" cm="1" t="str">
        <f t="array" ref="BH55:BH55">AC55</f>
        <v>0</v>
      </c>
      <c r="BI55" s="1222" cm="1" t="str">
        <f t="array" ref="BI55:BI55">AD57</f>
        <v>тыс.куб.м</v>
      </c>
      <c r="BJ55" s="1223"/>
      <c r="BK55" s="1223" t="b">
        <v>1</v>
      </c>
    </row>
    <row s="1642" customFormat="1" customHeight="1" ht="16.5" hidden="1">
      <c r="B56" s="925"/>
      <c r="C56" s="1400"/>
      <c r="D56" s="1400"/>
      <c r="E56" s="923">
        <v>17</v>
      </c>
      <c r="F56" s="920" cm="1" t="str">
        <f t="array" ref="F56:F56">F54</f>
        <v>1</v>
      </c>
      <c r="G56" s="190" t="s">
        <v>201</v>
      </c>
      <c r="H56" s="1512" cm="1" t="str">
        <f t="array" ref="H56:H56">H55</f>
        <v>0</v>
      </c>
      <c r="I56" s="1512"/>
      <c r="J56" s="1512"/>
      <c r="K56" s="1512"/>
      <c r="L56" s="1512"/>
      <c r="M56" s="1512"/>
      <c r="N56" s="1512"/>
      <c r="O56" s="1512"/>
      <c r="P56" s="1512"/>
      <c r="Q56" s="190"/>
      <c r="R56" s="190"/>
      <c r="S56" s="1512"/>
      <c r="T56" s="947" cm="1" t="str">
        <f t="array" ref="T56:T56">T55</f>
        <v>false</v>
      </c>
      <c r="U56" s="1498"/>
      <c r="V56" s="1498"/>
      <c r="W56" s="1498"/>
      <c r="X56" s="1498"/>
      <c r="Y56" s="1498"/>
      <c r="Z56" s="1498"/>
      <c r="AA56" s="1513"/>
      <c r="AB56" s="512" t="str">
        <f>AB55&amp;".1"</f>
        <v>2.0.1</v>
      </c>
      <c r="AC56" s="489" t="s">
        <v>910</v>
      </c>
      <c r="AD56" s="1892" t="s">
        <v>242</v>
      </c>
      <c r="AE56" s="1876"/>
      <c r="AF56" s="701">
        <f>IF(AF57=0,0,AF55/AF57)</f>
        <v>0</v>
      </c>
      <c r="AG56" s="701">
        <f>IF(AG57=0,0,AG55/AG57)</f>
        <v>0</v>
      </c>
      <c r="AH56" s="1876"/>
      <c r="AI56" s="701">
        <f>IF(AI57=0,0,AI55/AI57)</f>
        <v>0</v>
      </c>
      <c r="AJ56" s="1853">
        <f>IF(AJ57=0,0,AJ55/AJ57)</f>
        <v>0</v>
      </c>
      <c r="AK56" s="1853">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664"/>
      <c r="AU56" s="1664"/>
      <c r="AV56" s="1876"/>
      <c r="AW56" s="1876"/>
      <c r="AX56" s="1876"/>
      <c r="AY56" s="1876"/>
      <c r="AZ56" s="1876"/>
      <c r="BA56" s="1876"/>
      <c r="BB56" s="1876"/>
      <c r="BC56" s="1847"/>
      <c r="BD56" s="220"/>
      <c r="BE56" s="220"/>
      <c r="BF56" s="1222" t="s">
        <v>1156</v>
      </c>
      <c r="BG56" s="1222" t="s">
        <v>1155</v>
      </c>
      <c r="BH56" s="1222" cm="1" t="str">
        <f t="array" ref="BH56:BH56">BH55</f>
        <v>0</v>
      </c>
      <c r="BI56" s="1222" cm="1" t="str">
        <f t="array" ref="BI56:BI56">BI55</f>
        <v>тыс.куб.м</v>
      </c>
      <c r="BJ56" s="1223"/>
      <c r="BK56" s="1223"/>
    </row>
    <row s="1642" customFormat="1" customHeight="1" ht="16.5" hidden="1">
      <c r="A57" s="1123" t="str">
        <f>"checkVolume_2."&amp;F57&amp;"."&amp;Y55</f>
        <v>checkVolume_2.1.0</v>
      </c>
      <c r="B57" s="925"/>
      <c r="C57" s="1400"/>
      <c r="D57" s="1400"/>
      <c r="E57" s="794">
        <v>17</v>
      </c>
      <c r="F57" s="920" cm="1" t="str">
        <f t="array" ref="F57:F57">F55</f>
        <v>1</v>
      </c>
      <c r="G57" s="190" t="s">
        <v>201</v>
      </c>
      <c r="H57" s="152" cm="1" t="str">
        <f t="array" ref="H57:H57">H55</f>
        <v>0</v>
      </c>
      <c r="I57" s="1512"/>
      <c r="J57" s="1512"/>
      <c r="K57" s="1512"/>
      <c r="L57" s="1512"/>
      <c r="M57" s="1512"/>
      <c r="N57" s="1512"/>
      <c r="O57" s="1512"/>
      <c r="P57" s="1512"/>
      <c r="Q57" s="190"/>
      <c r="R57" s="190"/>
      <c r="S57" s="1512"/>
      <c r="T57" s="816" cm="1" t="str">
        <f t="array" ref="T57:T57">T55</f>
        <v>false</v>
      </c>
      <c r="U57" s="1498"/>
      <c r="V57" s="1498"/>
      <c r="W57" s="1498"/>
      <c r="X57" s="1498"/>
      <c r="Y57" s="1498"/>
      <c r="Z57" s="1498"/>
      <c r="AA57" s="1513"/>
      <c r="AB57" s="285" t="str">
        <f>AB55&amp;".2"</f>
        <v>2.0.2</v>
      </c>
      <c r="AC57" s="291" t="s">
        <v>1149</v>
      </c>
      <c r="AD57" s="1892" t="s">
        <v>968</v>
      </c>
      <c r="AE57" s="62"/>
      <c r="AF57" s="62"/>
      <c r="AG57" s="62"/>
      <c r="AH57" s="62"/>
      <c r="AI57" s="280"/>
      <c r="AJ57" s="1664"/>
      <c r="AK57" s="1664"/>
      <c r="AL57" s="62"/>
      <c r="AM57" s="62"/>
      <c r="AN57" s="62"/>
      <c r="AO57" s="62"/>
      <c r="AP57" s="62"/>
      <c r="AQ57" s="62"/>
      <c r="AR57" s="62"/>
      <c r="AS57" s="280"/>
      <c r="AT57" s="1664"/>
      <c r="AU57" s="1664"/>
      <c r="AV57" s="62"/>
      <c r="AW57" s="62"/>
      <c r="AX57" s="62"/>
      <c r="AY57" s="62"/>
      <c r="AZ57" s="62"/>
      <c r="BA57" s="62"/>
      <c r="BB57" s="62"/>
      <c r="BC57" s="74"/>
      <c r="BD57" s="220"/>
      <c r="BE57" s="220"/>
      <c r="BF57" s="1222" t="s">
        <v>1157</v>
      </c>
      <c r="BG57" s="1222" t="s">
        <v>1155</v>
      </c>
      <c r="BH57" s="1222" cm="1" t="str">
        <f t="array" ref="BH57:BH57">BH55</f>
        <v>0</v>
      </c>
      <c r="BI57" s="1222" cm="1" t="str">
        <f t="array" ref="BI57:BI57">BI55</f>
        <v>тыс.куб.м</v>
      </c>
      <c r="BJ57" s="1223"/>
      <c r="BK57" s="1223"/>
    </row>
    <row s="1642" customFormat="1" customHeight="1" ht="16.5">
      <c r="A58" s="1400"/>
      <c r="B58" s="925"/>
      <c r="C58" s="1400"/>
      <c r="D58" s="1400"/>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98"/>
      <c r="V58" s="1498"/>
      <c r="W58" s="371" t="s">
        <v>1158</v>
      </c>
      <c r="X58" s="1498"/>
      <c r="Y58" s="1498"/>
      <c r="Z58" s="1498"/>
      <c r="AA58" s="220"/>
      <c r="AB58" s="299"/>
      <c r="AC58" s="300" t="s">
        <v>946</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1155</v>
      </c>
      <c r="BK58" s="1223"/>
    </row>
    <row s="1642" customFormat="1" customHeight="1" ht="16.5">
      <c r="A59" s="1400"/>
      <c r="B59" s="925"/>
      <c r="C59" s="1400"/>
      <c r="D59" s="1400"/>
      <c r="E59" s="794">
        <v>17</v>
      </c>
      <c r="F59" s="920" cm="1" t="str">
        <f t="array" ref="F59:F59">F58</f>
        <v>1</v>
      </c>
      <c r="G59" s="190" t="s">
        <v>1159</v>
      </c>
      <c r="H59" s="1512"/>
      <c r="I59" s="1512"/>
      <c r="J59" s="1512"/>
      <c r="K59" s="1512"/>
      <c r="L59" s="1512"/>
      <c r="M59" s="1512"/>
      <c r="N59" s="1512"/>
      <c r="O59" s="1512"/>
      <c r="P59" s="1512"/>
      <c r="Q59" s="190"/>
      <c r="R59" s="190"/>
      <c r="S59" s="1512"/>
      <c r="T59" s="816">
        <f>F59&gt;0</f>
        <v>1</v>
      </c>
      <c r="U59" s="1498"/>
      <c r="V59" s="1498"/>
      <c r="W59" s="1498"/>
      <c r="X59" s="1498"/>
      <c r="Y59" s="1498"/>
      <c r="Z59" s="1498"/>
      <c r="AA59" s="220"/>
      <c r="AB59" s="283">
        <v>3</v>
      </c>
      <c r="AC59" s="278" t="s">
        <v>1160</v>
      </c>
      <c r="AD59" s="277" t="s">
        <v>799</v>
      </c>
      <c r="AE59" s="279">
        <f>SUMIF($AD60:$AD64,$AD59,AE60:AE64)</f>
        <v>0</v>
      </c>
      <c r="AF59" s="279">
        <f>SUMIF($AD60:$AD64,$AD59,AF60:AF64)</f>
        <v>0</v>
      </c>
      <c r="AG59" s="279">
        <f>SUMIF($AD60:$AD64,$AD59,AG60:AG64)</f>
        <v>0</v>
      </c>
      <c r="AH59" s="279">
        <f>SUMIF($AD60:$AD64,$AD59,AH60:AH64)</f>
        <v>0</v>
      </c>
      <c r="AI59" s="279">
        <f>SUMIF($AD60:$AD64,$AD59,AI60:AI64)</f>
        <v>0</v>
      </c>
      <c r="AJ59" s="1848">
        <f>SUMIF($AD60:$AD64,$AD59,AJ60:AJ64)</f>
        <v>0</v>
      </c>
      <c r="AK59" s="1848">
        <f>SUMIF($AD60:$AD64,$AD59,AK60:AK64)</f>
        <v>0</v>
      </c>
      <c r="AL59" s="1863">
        <f>SUMIF($AD60:$AD64,$AD59,AL60:AL64)</f>
        <v>0</v>
      </c>
      <c r="AM59" s="1863">
        <f>SUMIF($AD60:$AD64,$AD59,AM60:AM64)</f>
        <v>0</v>
      </c>
      <c r="AN59" s="1863">
        <f>SUMIF($AD60:$AD64,$AD59,AN60:AN64)</f>
        <v>0</v>
      </c>
      <c r="AO59" s="1863">
        <f>SUMIF($AD60:$AD64,$AD59,AO60:AO64)</f>
        <v>0</v>
      </c>
      <c r="AP59" s="1863">
        <f>SUMIF($AD60:$AD64,$AD59,AP60:AP64)</f>
        <v>0</v>
      </c>
      <c r="AQ59" s="1863">
        <f>SUMIF($AD60:$AD64,$AD59,AQ60:AQ64)</f>
        <v>0</v>
      </c>
      <c r="AR59" s="1863">
        <f>SUMIF($AD60:$AD64,$AD59,AR60:AR64)</f>
        <v>0</v>
      </c>
      <c r="AS59" s="279">
        <f>SUMIF($AD60:$AD64,$AD59,AS60:AS64)</f>
        <v>0</v>
      </c>
      <c r="AT59" s="1848">
        <f>SUMIF($AD60:$AD64,$AD59,AT60:AT64)</f>
        <v>0</v>
      </c>
      <c r="AU59" s="1848">
        <f>SUMIF($AD60:$AD64,$AD59,AU60:AU64)</f>
        <v>0</v>
      </c>
      <c r="AV59" s="1863">
        <f>SUMIF($AD60:$AD64,$AD59,AV60:AV64)</f>
        <v>0</v>
      </c>
      <c r="AW59" s="1863">
        <f>SUMIF($AD60:$AD64,$AD59,AW60:AW64)</f>
        <v>0</v>
      </c>
      <c r="AX59" s="1863">
        <f>SUMIF($AD60:$AD64,$AD59,AX60:AX64)</f>
        <v>0</v>
      </c>
      <c r="AY59" s="1863">
        <f>SUMIF($AD60:$AD64,$AD59,AY60:AY64)</f>
        <v>0</v>
      </c>
      <c r="AZ59" s="1863">
        <f>SUMIF($AD60:$AD64,$AD59,AZ60:AZ64)</f>
        <v>0</v>
      </c>
      <c r="BA59" s="1863">
        <f>SUMIF($AD60:$AD64,$AD59,BA60:BA64)</f>
        <v>0</v>
      </c>
      <c r="BB59" s="1863">
        <f>SUMIF($AD60:$AD64,$AD59,BB60:BB64)</f>
        <v>0</v>
      </c>
      <c r="BC59" s="1792"/>
      <c r="BD59" s="220"/>
      <c r="BE59" s="220"/>
      <c r="BF59" s="1222" t="s">
        <v>1161</v>
      </c>
      <c r="BG59" s="1222"/>
      <c r="BH59" s="1222"/>
      <c r="BI59" s="1222"/>
      <c r="BJ59" s="1223"/>
      <c r="BK59" s="1223"/>
    </row>
    <row s="1642" customFormat="1" customHeight="1" ht="0" hidden="1">
      <c r="A60" s="1400"/>
      <c r="B60" s="925"/>
      <c r="C60" s="1400"/>
      <c r="D60" s="1400"/>
      <c r="E60" s="794">
        <v>0.2</v>
      </c>
      <c r="F60" s="920" cm="1" t="str">
        <f t="array" ref="F60:F60">F59</f>
        <v>1</v>
      </c>
      <c r="G60" s="1512"/>
      <c r="H60" s="1512"/>
      <c r="I60" s="1512"/>
      <c r="J60" s="1512"/>
      <c r="K60" s="1512"/>
      <c r="L60" s="1512"/>
      <c r="M60" s="1512"/>
      <c r="N60" s="1512"/>
      <c r="O60" s="1512"/>
      <c r="P60" s="1512"/>
      <c r="Q60" s="190"/>
      <c r="R60" s="190"/>
      <c r="S60" s="1512"/>
      <c r="T60" s="816" t="b">
        <v>0</v>
      </c>
      <c r="U60" s="1498"/>
      <c r="V60" s="1498"/>
      <c r="W60" s="1498"/>
      <c r="X60" s="1498"/>
      <c r="Y60" s="1498"/>
      <c r="Z60" s="1498"/>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42" customFormat="1" customHeight="1" ht="21.75" hidden="1">
      <c r="A61" s="1123" t="str">
        <f>"checkCosts_3."&amp;F61&amp;"."&amp;Y61</f>
        <v>checkCosts_3.1.0</v>
      </c>
      <c r="B61" s="925"/>
      <c r="C61" s="1400"/>
      <c r="D61" s="1400"/>
      <c r="E61" s="794">
        <v>22.8</v>
      </c>
      <c r="F61" s="920" cm="1" t="str">
        <f t="array" ref="F61:F61">OFFSET(G61,-1,-1)</f>
        <v>1</v>
      </c>
      <c r="G61" s="190" t="s">
        <v>1159</v>
      </c>
      <c r="H61" s="152" cm="1" t="str">
        <f t="array" ref="H61:H61">AC61</f>
        <v>0</v>
      </c>
      <c r="I61" s="1512"/>
      <c r="J61" s="1512"/>
      <c r="K61" s="1512"/>
      <c r="L61" s="1512"/>
      <c r="M61" s="1512"/>
      <c r="N61" s="1512"/>
      <c r="O61" s="1512"/>
      <c r="P61" s="1512"/>
      <c r="Q61" s="190"/>
      <c r="R61" s="190"/>
      <c r="S61" s="1512"/>
      <c r="T61" s="816">
        <f>AND(F61&gt;0,Y61&gt;0)</f>
        <v>0</v>
      </c>
      <c r="U61" s="1498"/>
      <c r="V61" s="1498"/>
      <c r="W61" s="156" t="s">
        <v>235</v>
      </c>
      <c r="X61" s="1498"/>
      <c r="Y61" s="156">
        <v>0</v>
      </c>
      <c r="Z61" s="1498"/>
      <c r="AA61" s="1513" t="s">
        <v>219</v>
      </c>
      <c r="AB61" s="285" t="str">
        <f>"3."&amp;Y61</f>
        <v>3.0</v>
      </c>
      <c r="AC61" s="55"/>
      <c r="AD61" s="277" t="s">
        <v>799</v>
      </c>
      <c r="AE61" s="1852">
        <f>AE62*AE63</f>
        <v>0</v>
      </c>
      <c r="AF61" s="62"/>
      <c r="AG61" s="62"/>
      <c r="AH61" s="1852">
        <f>AH62*AH63</f>
        <v>0</v>
      </c>
      <c r="AI61" s="280"/>
      <c r="AJ61" s="1664"/>
      <c r="AK61" s="1664"/>
      <c r="AL61" s="62"/>
      <c r="AM61" s="62"/>
      <c r="AN61" s="62"/>
      <c r="AO61" s="62"/>
      <c r="AP61" s="62"/>
      <c r="AQ61" s="62"/>
      <c r="AR61" s="62"/>
      <c r="AS61" s="1853">
        <f>AS62*AS63</f>
        <v>0</v>
      </c>
      <c r="AT61" s="1853">
        <f>AT62*AT63</f>
        <v>0</v>
      </c>
      <c r="AU61" s="1853">
        <f>AU62*AU63</f>
        <v>0</v>
      </c>
      <c r="AV61" s="1852">
        <f>AV62*AV63</f>
        <v>0</v>
      </c>
      <c r="AW61" s="1852">
        <f>AW62*AW63</f>
        <v>0</v>
      </c>
      <c r="AX61" s="1852">
        <f>AX62*AX63</f>
        <v>0</v>
      </c>
      <c r="AY61" s="1852">
        <f>AY62*AY63</f>
        <v>0</v>
      </c>
      <c r="AZ61" s="1852">
        <f>AZ62*AZ63</f>
        <v>0</v>
      </c>
      <c r="BA61" s="1852">
        <f>BA62*BA63</f>
        <v>0</v>
      </c>
      <c r="BB61" s="1852">
        <f>BB62*BB63</f>
        <v>0</v>
      </c>
      <c r="BC61" s="74"/>
      <c r="BD61" s="220"/>
      <c r="BE61" s="220"/>
      <c r="BF61" s="1222" t="s">
        <v>1162</v>
      </c>
      <c r="BG61" s="1222" t="s">
        <v>1163</v>
      </c>
      <c r="BH61" s="1222" cm="1" t="str">
        <f t="array" ref="BH61:BH61">AC61</f>
        <v>0</v>
      </c>
      <c r="BI61" s="1222" cm="1" t="str">
        <f t="array" ref="BI61:BI61">AD63</f>
        <v>0</v>
      </c>
      <c r="BJ61" s="1223"/>
      <c r="BK61" s="1223" t="b">
        <v>1</v>
      </c>
    </row>
    <row s="1642" customFormat="1" customHeight="1" ht="16.5" hidden="1">
      <c r="B62" s="925"/>
      <c r="C62" s="1400"/>
      <c r="D62" s="1400"/>
      <c r="E62" s="923">
        <v>17</v>
      </c>
      <c r="F62" s="920" cm="1" t="str">
        <f t="array" ref="F62:F62">F60</f>
        <v>1</v>
      </c>
      <c r="G62" s="190" t="s">
        <v>269</v>
      </c>
      <c r="H62" s="1512" cm="1" t="str">
        <f t="array" ref="H62:H62">H61</f>
        <v>0</v>
      </c>
      <c r="I62" s="1512"/>
      <c r="J62" s="1512"/>
      <c r="K62" s="1512"/>
      <c r="L62" s="1512"/>
      <c r="M62" s="1512"/>
      <c r="N62" s="1512"/>
      <c r="O62" s="1512"/>
      <c r="P62" s="1512"/>
      <c r="Q62" s="190"/>
      <c r="R62" s="190"/>
      <c r="S62" s="1512"/>
      <c r="T62" s="947" cm="1" t="str">
        <f t="array" ref="T62:T62">T61</f>
        <v>false</v>
      </c>
      <c r="U62" s="1498"/>
      <c r="V62" s="1498"/>
      <c r="W62" s="1498"/>
      <c r="X62" s="1498"/>
      <c r="Y62" s="1498"/>
      <c r="Z62" s="1498"/>
      <c r="AA62" s="1513"/>
      <c r="AB62" s="512" t="str">
        <f>AB61&amp;".1"</f>
        <v>3.0.1</v>
      </c>
      <c r="AC62" s="489" t="s">
        <v>910</v>
      </c>
      <c r="AD62" s="1893" t="s">
        <v>242</v>
      </c>
      <c r="AE62" s="1876"/>
      <c r="AF62" s="701">
        <f>IF(AF63=0,0,AF61/AF63)</f>
        <v>0</v>
      </c>
      <c r="AG62" s="701">
        <f>IF(AG63=0,0,AG61/AG63)</f>
        <v>0</v>
      </c>
      <c r="AH62" s="1876"/>
      <c r="AI62" s="701">
        <f>IF(AI63=0,0,AI61/AI63)</f>
        <v>0</v>
      </c>
      <c r="AJ62" s="1853">
        <f>IF(AJ63=0,0,AJ61/AJ63)</f>
        <v>0</v>
      </c>
      <c r="AK62" s="1853">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664"/>
      <c r="AU62" s="1664"/>
      <c r="AV62" s="1876"/>
      <c r="AW62" s="1876"/>
      <c r="AX62" s="1876"/>
      <c r="AY62" s="1876"/>
      <c r="AZ62" s="1876"/>
      <c r="BA62" s="1876"/>
      <c r="BB62" s="1876"/>
      <c r="BC62" s="1847"/>
      <c r="BD62" s="220"/>
      <c r="BE62" s="220"/>
      <c r="BF62" s="1222" t="s">
        <v>1164</v>
      </c>
      <c r="BG62" s="1222" t="s">
        <v>1163</v>
      </c>
      <c r="BH62" s="1222" cm="1" t="str">
        <f t="array" ref="BH62:BH62">BH61</f>
        <v>0</v>
      </c>
      <c r="BI62" s="1222" cm="1" t="str">
        <f t="array" ref="BI62:BI62">BI61</f>
        <v>0</v>
      </c>
      <c r="BJ62" s="1223"/>
      <c r="BK62" s="1223"/>
    </row>
    <row s="1642" customFormat="1" customHeight="1" ht="16.5" hidden="1">
      <c r="A63" s="1123" t="str">
        <f>"checkVolume_3."&amp;F63&amp;"."&amp;Y61</f>
        <v>checkVolume_3.1.0</v>
      </c>
      <c r="B63" s="925"/>
      <c r="C63" s="1400"/>
      <c r="D63" s="1400"/>
      <c r="E63" s="794">
        <v>17</v>
      </c>
      <c r="F63" s="920" cm="1" t="str">
        <f t="array" ref="F63:F63">F61</f>
        <v>1</v>
      </c>
      <c r="G63" s="190" t="s">
        <v>269</v>
      </c>
      <c r="H63" s="152" cm="1" t="str">
        <f t="array" ref="H63:H63">H61</f>
        <v>0</v>
      </c>
      <c r="I63" s="1512"/>
      <c r="J63" s="1512"/>
      <c r="K63" s="1512"/>
      <c r="L63" s="1512"/>
      <c r="M63" s="1512"/>
      <c r="N63" s="1512"/>
      <c r="O63" s="1512"/>
      <c r="P63" s="1512"/>
      <c r="Q63" s="190"/>
      <c r="R63" s="190"/>
      <c r="S63" s="1512"/>
      <c r="T63" s="816" cm="1" t="str">
        <f t="array" ref="T63:T63">T61</f>
        <v>false</v>
      </c>
      <c r="U63" s="1498"/>
      <c r="V63" s="1498"/>
      <c r="W63" s="1498"/>
      <c r="X63" s="1498"/>
      <c r="Y63" s="1498"/>
      <c r="Z63" s="1498"/>
      <c r="AA63" s="1513"/>
      <c r="AB63" s="285" t="str">
        <f>AB61&amp;".2"</f>
        <v>3.0.2</v>
      </c>
      <c r="AC63" s="291" t="s">
        <v>1149</v>
      </c>
      <c r="AD63" s="1893"/>
      <c r="AE63" s="62"/>
      <c r="AF63" s="62"/>
      <c r="AG63" s="62"/>
      <c r="AH63" s="62"/>
      <c r="AI63" s="280"/>
      <c r="AJ63" s="1664"/>
      <c r="AK63" s="1664"/>
      <c r="AL63" s="62"/>
      <c r="AM63" s="62"/>
      <c r="AN63" s="62"/>
      <c r="AO63" s="62"/>
      <c r="AP63" s="62"/>
      <c r="AQ63" s="62"/>
      <c r="AR63" s="62"/>
      <c r="AS63" s="280"/>
      <c r="AT63" s="1664"/>
      <c r="AU63" s="1664"/>
      <c r="AV63" s="62"/>
      <c r="AW63" s="62"/>
      <c r="AX63" s="62"/>
      <c r="AY63" s="62"/>
      <c r="AZ63" s="62"/>
      <c r="BA63" s="62"/>
      <c r="BB63" s="62"/>
      <c r="BC63" s="74"/>
      <c r="BD63" s="220"/>
      <c r="BE63" s="220"/>
      <c r="BF63" s="1222" t="s">
        <v>1165</v>
      </c>
      <c r="BG63" s="1222" t="s">
        <v>1163</v>
      </c>
      <c r="BH63" s="1222" cm="1" t="str">
        <f t="array" ref="BH63:BH63">BH61</f>
        <v>0</v>
      </c>
      <c r="BI63" s="1222" cm="1" t="str">
        <f t="array" ref="BI63:BI63">BI61</f>
        <v>0</v>
      </c>
      <c r="BJ63" s="1223"/>
      <c r="BK63" s="1223"/>
    </row>
    <row s="1642" customFormat="1" customHeight="1" ht="16.5">
      <c r="A64" s="1400"/>
      <c r="B64" s="925"/>
      <c r="C64" s="1400"/>
      <c r="D64" s="1400"/>
      <c r="E64" s="794">
        <v>17</v>
      </c>
      <c r="F64" s="920" cm="1" t="str">
        <f t="array" ref="F64:F64">F60</f>
        <v>1</v>
      </c>
      <c r="G64" s="190" t="str">
        <f>F64&amp;"pIns5"</f>
        <v>1pIns5</v>
      </c>
      <c r="H64" s="1512"/>
      <c r="I64" s="1512"/>
      <c r="J64" s="1512"/>
      <c r="K64" s="1512"/>
      <c r="L64" s="1512"/>
      <c r="M64" s="1512"/>
      <c r="N64" s="1512"/>
      <c r="O64" s="1512"/>
      <c r="P64" s="1512"/>
      <c r="Q64" s="190"/>
      <c r="R64" s="190"/>
      <c r="S64" s="1512"/>
      <c r="T64" s="816">
        <f>F64&gt;0</f>
        <v>1</v>
      </c>
      <c r="U64" s="1498"/>
      <c r="V64" s="1498"/>
      <c r="W64" s="371" t="s">
        <v>1166</v>
      </c>
      <c r="X64" s="1498"/>
      <c r="Y64" s="1498"/>
      <c r="Z64" s="1498"/>
      <c r="AA64" s="220"/>
      <c r="AB64" s="299"/>
      <c r="AC64" s="300" t="s">
        <v>946</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9"/>
      <c r="BD64" s="220"/>
      <c r="BE64" s="220"/>
      <c r="BF64" s="1222"/>
      <c r="BG64" s="1222"/>
      <c r="BH64" s="1222"/>
      <c r="BI64" s="1222"/>
      <c r="BJ64" s="1223" t="s">
        <v>1163</v>
      </c>
      <c r="BK64" s="1223"/>
    </row>
    <row customHeight="1" ht="16.575">
      <c r="E65" s="794">
        <v>17</v>
      </c>
      <c r="U65" s="176" t="s">
        <v>237</v>
      </c>
      <c r="V65" s="168" t="s">
        <v>1167</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07" t="s">
        <v>694</v>
      </c>
      <c r="AC67" s="1507"/>
      <c r="AD67" s="1507"/>
      <c r="AE67" s="1507"/>
      <c r="AF67" s="1507"/>
      <c r="AG67" s="1507"/>
      <c r="AH67" s="1507"/>
      <c r="AI67" s="1508"/>
      <c r="AJ67" s="1508"/>
      <c r="AK67" s="1508"/>
      <c r="AL67" s="1508"/>
      <c r="AM67" s="1508"/>
      <c r="AN67" s="1508"/>
      <c r="AO67" s="1508"/>
      <c r="AP67" s="1508"/>
      <c r="AQ67" s="1508"/>
      <c r="AR67" s="1508"/>
      <c r="AS67" s="1508"/>
      <c r="AT67" s="1508"/>
      <c r="AU67" s="1508"/>
      <c r="AV67" s="1508"/>
      <c r="AW67" s="1508"/>
      <c r="AX67" s="1508"/>
      <c r="AY67" s="1508"/>
      <c r="AZ67" s="1508"/>
      <c r="BA67" s="1508"/>
      <c r="BB67" s="1508"/>
      <c r="BC67" s="1508"/>
      <c r="BF67" s="1226"/>
      <c r="BG67" s="1226"/>
      <c r="BH67" s="1226"/>
      <c r="BI67" s="1226"/>
      <c r="BJ67" s="1227"/>
      <c r="BK67" s="1227"/>
    </row>
    <row s="497" customFormat="1" customHeight="1" ht="14.625">
      <c r="A68" s="172"/>
      <c r="B68" s="785"/>
      <c r="C68" s="172"/>
      <c r="D68" s="172"/>
      <c r="E68" s="794">
        <v>15</v>
      </c>
      <c r="F68" s="172"/>
      <c r="Q68" s="736"/>
      <c r="R68" s="736"/>
      <c r="T68" s="172"/>
      <c r="U68" s="172"/>
      <c r="V68" s="172"/>
      <c r="W68" s="172"/>
      <c r="X68" s="172"/>
      <c r="Y68" s="172"/>
      <c r="Z68" s="172"/>
      <c r="AA68" s="919"/>
      <c r="AB68" s="1509"/>
      <c r="AC68" s="1509"/>
      <c r="AD68" s="1509"/>
      <c r="AE68" s="1509"/>
      <c r="AF68" s="1509"/>
      <c r="AG68" s="1509"/>
      <c r="AH68" s="1509"/>
      <c r="AI68" s="1510"/>
      <c r="AJ68" s="1870"/>
      <c r="AK68" s="1870"/>
      <c r="AL68" s="1870"/>
      <c r="AM68" s="1870"/>
      <c r="AN68" s="1870"/>
      <c r="AO68" s="1870"/>
      <c r="AP68" s="1870"/>
      <c r="AQ68" s="1870"/>
      <c r="AR68" s="1870"/>
      <c r="AS68" s="1510"/>
      <c r="AT68" s="1870"/>
      <c r="AU68" s="1870"/>
      <c r="AV68" s="1870"/>
      <c r="AW68" s="1870"/>
      <c r="AX68" s="1870"/>
      <c r="AY68" s="1870"/>
      <c r="AZ68" s="1870"/>
      <c r="BA68" s="1870"/>
      <c r="BB68" s="1870"/>
      <c r="BC68" s="1510"/>
      <c r="BF68" s="1226"/>
      <c r="BG68" s="1226"/>
      <c r="BH68" s="1226"/>
      <c r="BI68" s="1226"/>
      <c r="BJ68" s="1227"/>
      <c r="BK68" s="1227"/>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235</v>
      </c>
      <c r="X69" s="172"/>
      <c r="Y69" s="172"/>
      <c r="Z69" s="172"/>
      <c r="AA69" s="915" t="s">
        <v>219</v>
      </c>
      <c r="AB69" s="1871"/>
      <c r="AC69" s="1871"/>
      <c r="AD69" s="1871"/>
      <c r="AE69" s="1871"/>
      <c r="AF69" s="1871"/>
      <c r="AG69" s="1871"/>
      <c r="AH69" s="1871"/>
      <c r="AI69" s="1510"/>
      <c r="AJ69" s="1870"/>
      <c r="AK69" s="1870"/>
      <c r="AL69" s="1870"/>
      <c r="AM69" s="1870"/>
      <c r="AN69" s="1870"/>
      <c r="AO69" s="1870"/>
      <c r="AP69" s="1870"/>
      <c r="AQ69" s="1870"/>
      <c r="AR69" s="1870"/>
      <c r="AS69" s="1510"/>
      <c r="AT69" s="1870"/>
      <c r="AU69" s="1870"/>
      <c r="AV69" s="1870"/>
      <c r="AW69" s="1870"/>
      <c r="AX69" s="1870"/>
      <c r="AY69" s="1870"/>
      <c r="AZ69" s="1870"/>
      <c r="BA69" s="1870"/>
      <c r="BB69" s="1870"/>
      <c r="BC69" s="1870"/>
      <c r="BD69" s="497"/>
      <c r="BE69" s="497"/>
      <c r="BF69" s="1226"/>
      <c r="BG69" s="1226"/>
      <c r="BH69" s="1226"/>
      <c r="BI69" s="1226"/>
      <c r="BJ69" s="1227"/>
      <c r="BK69" s="1227"/>
    </row>
    <row s="497" customFormat="1" customHeight="1" ht="14.625">
      <c r="A70" s="172"/>
      <c r="B70" s="785"/>
      <c r="C70" s="172"/>
      <c r="D70" s="172"/>
      <c r="E70" s="794">
        <v>15</v>
      </c>
      <c r="F70" s="172"/>
      <c r="Q70" s="736"/>
      <c r="R70" s="736"/>
      <c r="T70" s="172"/>
      <c r="U70" s="172"/>
      <c r="V70" s="172"/>
      <c r="W70" s="168" t="s">
        <v>1168</v>
      </c>
      <c r="X70" s="172"/>
      <c r="Y70" s="172"/>
      <c r="Z70" s="172"/>
      <c r="AB70" s="1453" t="s">
        <v>695</v>
      </c>
      <c r="AC70" s="1454"/>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6"/>
      <c r="BG70" s="1226"/>
      <c r="BH70" s="1226"/>
      <c r="BI70" s="1226"/>
      <c r="BJ70" s="1227"/>
      <c r="BK70" s="1227"/>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autoFilter="0" sort="0" insertRows="0" insertColumns="1" deleteRows="0" deleteColumns="0"/>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EA73C-56F8-D738-A518-ECFDB838B082}"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C1" s="816" t="s">
        <v>92</v>
      </c>
      <c r="AI1" s="1437"/>
      <c r="AJ1" s="1437"/>
      <c r="AN1" s="1182" t="s">
        <v>372</v>
      </c>
      <c r="AO1" s="1182" t="s">
        <v>373</v>
      </c>
      <c r="AP1" s="1182" t="s">
        <v>374</v>
      </c>
      <c r="AQ1" s="1185" t="s">
        <v>377</v>
      </c>
      <c r="AR1" s="1185" t="s">
        <v>378</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424</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426</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383</v>
      </c>
      <c r="B12" s="1152"/>
      <c r="E12" s="1152"/>
      <c r="G12" s="1168"/>
      <c r="H12" s="1168"/>
      <c r="I12" s="1168"/>
      <c r="J12" s="1168"/>
      <c r="K12" s="1168"/>
      <c r="L12" s="1168"/>
      <c r="M12" s="1168"/>
      <c r="N12" s="1168"/>
      <c r="O12" s="1168"/>
      <c r="P12" s="1168"/>
      <c r="Q12" s="1183"/>
      <c r="R12" s="1183"/>
      <c r="S12" s="1168"/>
      <c r="AC12" s="1160" t="s">
        <v>374</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482</v>
      </c>
      <c r="B18" s="785"/>
      <c r="E18" s="794"/>
      <c r="G18" s="210"/>
      <c r="H18" s="210"/>
      <c r="I18" s="210"/>
      <c r="J18" s="210"/>
      <c r="K18" s="210"/>
      <c r="L18" s="210"/>
      <c r="M18" s="210"/>
      <c r="N18" s="210"/>
      <c r="O18" s="210"/>
      <c r="P18" s="210"/>
      <c r="Q18" s="736"/>
      <c r="R18" s="736"/>
      <c r="S18" s="210"/>
      <c r="AC18" s="172" t="s">
        <v>226</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Ульяновская область / 2026 / ООО "НИИАР-ГЕНЕРАЦИЯ" (ИНН:7329008990, КПП:732901001)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7" t="s">
        <v>959</v>
      </c>
      <c r="AC24" s="1515" t="s">
        <v>226</v>
      </c>
      <c r="AD24" s="1507" t="s">
        <v>428</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0" t="s">
        <v>582</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401</v>
      </c>
      <c r="AF25" s="1356" t="s">
        <v>583</v>
      </c>
      <c r="AG25" s="166" t="s">
        <v>584</v>
      </c>
      <c r="AH25" s="166" t="s">
        <v>401</v>
      </c>
      <c r="AI25" s="1355" t="s">
        <v>402</v>
      </c>
      <c r="AJ25" s="410" t="s">
        <v>401</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311</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1169</v>
      </c>
      <c r="H28" s="210" t="s">
        <v>1170</v>
      </c>
      <c r="T28" s="816">
        <f>F28&gt;0</f>
        <v>0</v>
      </c>
      <c r="AB28" s="403">
        <v>1</v>
      </c>
      <c r="AC28" s="404" t="s">
        <v>1171</v>
      </c>
      <c r="AD28" s="154" t="s">
        <v>799</v>
      </c>
      <c r="AE28" s="108"/>
      <c r="AF28" s="108"/>
      <c r="AG28" s="108"/>
      <c r="AH28" s="108"/>
      <c r="AI28" s="279">
        <f>_xlfn.SUMIFS(AI29:AI33,$AD29:$AD33,$AD28)</f>
        <v>0</v>
      </c>
      <c r="AJ28" s="279">
        <f>_xlfn.SUMIFS(AJ29:AJ33,$AD29:$AD33,$AD28)</f>
        <v>0</v>
      </c>
      <c r="AK28" s="80"/>
      <c r="AN28" s="1182" t="s">
        <v>1172</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242</v>
      </c>
      <c r="AO29" s="1188"/>
      <c r="AP29" s="1188"/>
      <c r="AQ29" s="1189"/>
      <c r="AR29" s="1189"/>
    </row>
    <row s="1444" customFormat="1" customHeight="1" ht="16.575" hidden="1">
      <c r="E30" s="800">
        <v>17</v>
      </c>
      <c r="F30" s="920" cm="1" t="str">
        <f t="array" ref="F30:F30">OFFSET(G30,-1,-1)</f>
        <v>0</v>
      </c>
      <c r="H30" s="210" t="s">
        <v>1170</v>
      </c>
      <c r="I30" s="210" cm="1" t="str">
        <f t="array" ref="I30:I30">AC30</f>
        <v>0</v>
      </c>
      <c r="T30" s="816">
        <f>AND(F30&gt;0,Y30&gt;0)</f>
        <v>0</v>
      </c>
      <c r="W30" s="156" t="s">
        <v>235</v>
      </c>
      <c r="Y30" s="168">
        <v>0</v>
      </c>
      <c r="AA30" s="1513" t="s">
        <v>219</v>
      </c>
      <c r="AB30" s="403" t="str">
        <f>"1."&amp;Y30</f>
        <v>1.0</v>
      </c>
      <c r="AC30" s="55"/>
      <c r="AD30" s="154" t="s">
        <v>799</v>
      </c>
      <c r="AE30" s="166"/>
      <c r="AF30" s="166"/>
      <c r="AG30" s="166"/>
      <c r="AH30" s="166"/>
      <c r="AI30" s="280">
        <f>AI31*AI32*12/1000</f>
        <v>0</v>
      </c>
      <c r="AJ30" s="280">
        <f>AJ31*AJ32*12/1000</f>
        <v>0</v>
      </c>
      <c r="AK30" s="80"/>
      <c r="AN30" s="1182" t="s">
        <v>1173</v>
      </c>
      <c r="AO30" s="1188" t="s">
        <v>1174</v>
      </c>
      <c r="AP30" s="1188" cm="1" t="str">
        <f t="array" ref="AP30:AP30">AC30</f>
        <v>0</v>
      </c>
      <c r="AQ30" s="1189"/>
      <c r="AR30" s="1189" t="b">
        <v>1</v>
      </c>
    </row>
    <row s="1444" customFormat="1" customHeight="1" ht="16.575" hidden="1">
      <c r="E31" s="800">
        <v>17</v>
      </c>
      <c r="F31" s="920" cm="1" t="str">
        <f t="array" ref="F31:F31">OFFSET(G31,-1,-1)</f>
        <v>0</v>
      </c>
      <c r="G31" s="736" t="s">
        <v>1175</v>
      </c>
      <c r="H31" s="210" t="str">
        <f>H30&amp;"_1"</f>
        <v>L1_1</v>
      </c>
      <c r="I31" s="210" cm="1" t="str">
        <f t="array" ref="I31:I31">I30</f>
        <v>0</v>
      </c>
      <c r="T31" s="816" cm="1" t="str">
        <f t="array" ref="T31:T31">T30</f>
        <v>false</v>
      </c>
      <c r="AA31" s="1513"/>
      <c r="AB31" s="403" t="str">
        <f>AB30&amp;".1"</f>
        <v>1.0.1</v>
      </c>
      <c r="AC31" s="291" t="s">
        <v>1176</v>
      </c>
      <c r="AD31" s="154" t="s">
        <v>1177</v>
      </c>
      <c r="AE31" s="166"/>
      <c r="AF31" s="166"/>
      <c r="AG31" s="166"/>
      <c r="AH31" s="166"/>
      <c r="AI31" s="297"/>
      <c r="AJ31" s="297"/>
      <c r="AK31" s="80"/>
      <c r="AN31" s="1182" t="s">
        <v>1178</v>
      </c>
      <c r="AO31" s="1188" t="s">
        <v>1174</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1179</v>
      </c>
      <c r="AD32" s="154" t="s">
        <v>1180</v>
      </c>
      <c r="AE32" s="166"/>
      <c r="AF32" s="166"/>
      <c r="AG32" s="166"/>
      <c r="AH32" s="166"/>
      <c r="AI32" s="297"/>
      <c r="AJ32" s="297"/>
      <c r="AK32" s="80"/>
      <c r="AN32" s="1182" t="s">
        <v>1181</v>
      </c>
      <c r="AO32" s="1188" t="s">
        <v>1174</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915</v>
      </c>
      <c r="AB33" s="299"/>
      <c r="AC33" s="300" t="s">
        <v>237</v>
      </c>
      <c r="AD33" s="300"/>
      <c r="AE33" s="300"/>
      <c r="AF33" s="300"/>
      <c r="AG33" s="300"/>
      <c r="AH33" s="300"/>
      <c r="AI33" s="300"/>
      <c r="AJ33" s="300"/>
      <c r="AK33" s="1099"/>
      <c r="AN33" s="1182" t="s">
        <v>242</v>
      </c>
      <c r="AO33" s="1188"/>
      <c r="AP33" s="1188"/>
      <c r="AQ33" s="1189" t="s">
        <v>1174</v>
      </c>
      <c r="AR33" s="1189"/>
    </row>
    <row s="1444" customFormat="1" customHeight="1" ht="24.180000000000003" hidden="1">
      <c r="E34" s="800">
        <v>24.8</v>
      </c>
      <c r="F34" s="920" cm="1" t="str">
        <f t="array" ref="F34:F34">OFFSET(G34,-1,-1)</f>
        <v>0</v>
      </c>
      <c r="G34" s="736" t="s">
        <v>1182</v>
      </c>
      <c r="H34" s="210" t="s">
        <v>1159</v>
      </c>
      <c r="T34" s="816">
        <f>F34&gt;0</f>
        <v>0</v>
      </c>
      <c r="AB34" s="403" t="s">
        <v>440</v>
      </c>
      <c r="AC34" s="404" t="s">
        <v>1183</v>
      </c>
      <c r="AD34" s="154" t="s">
        <v>799</v>
      </c>
      <c r="AE34" s="108"/>
      <c r="AF34" s="108"/>
      <c r="AG34" s="108"/>
      <c r="AH34" s="108"/>
      <c r="AI34" s="279">
        <f>_xlfn.SUMIFS(AI35:AI39,$AD35:$AD39,$AD34)</f>
        <v>0</v>
      </c>
      <c r="AJ34" s="279">
        <f>_xlfn.SUMIFS(AJ35:AJ39,$AD35:$AD39,$AD34)</f>
        <v>0</v>
      </c>
      <c r="AK34" s="80"/>
      <c r="AN34" s="1182" t="s">
        <v>1184</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1159</v>
      </c>
      <c r="I36" s="210" cm="1" t="str">
        <f t="array" ref="I36:I36">AC36</f>
        <v>0</v>
      </c>
      <c r="T36" s="816">
        <f>AND(F36&gt;0,Y36&gt;0)</f>
        <v>0</v>
      </c>
      <c r="W36" s="156" t="s">
        <v>235</v>
      </c>
      <c r="Y36" s="168">
        <v>0</v>
      </c>
      <c r="AA36" s="1513" t="s">
        <v>219</v>
      </c>
      <c r="AB36" s="403" t="str">
        <f>"2."&amp;Y36</f>
        <v>2.0</v>
      </c>
      <c r="AC36" s="55"/>
      <c r="AD36" s="154" t="s">
        <v>799</v>
      </c>
      <c r="AE36" s="166"/>
      <c r="AF36" s="166"/>
      <c r="AG36" s="166"/>
      <c r="AH36" s="166"/>
      <c r="AI36" s="280">
        <f>AI37*AI38*12/1000</f>
        <v>0</v>
      </c>
      <c r="AJ36" s="280">
        <f>AJ37*AJ38*12/1000</f>
        <v>0</v>
      </c>
      <c r="AK36" s="80"/>
      <c r="AN36" s="1182" t="s">
        <v>1185</v>
      </c>
      <c r="AO36" s="1188" t="s">
        <v>1186</v>
      </c>
      <c r="AP36" s="1188" cm="1" t="str">
        <f t="array" ref="AP36:AP36">AC36</f>
        <v>0</v>
      </c>
      <c r="AQ36" s="1189"/>
      <c r="AR36" s="1189" t="b">
        <v>1</v>
      </c>
    </row>
    <row s="1444" customFormat="1" customHeight="1" ht="16.575" hidden="1">
      <c r="E37" s="800">
        <v>17</v>
      </c>
      <c r="F37" s="920" cm="1" t="str">
        <f t="array" ref="F37:F37">OFFSET(G37,-1,-1)</f>
        <v>0</v>
      </c>
      <c r="G37" s="736" t="s">
        <v>1187</v>
      </c>
      <c r="H37" s="210" t="str">
        <f>H36&amp;"_1"</f>
        <v>L5_1</v>
      </c>
      <c r="I37" s="210" cm="1" t="str">
        <f t="array" ref="I37:I37">I36</f>
        <v>0</v>
      </c>
      <c r="T37" s="816" cm="1" t="str">
        <f t="array" ref="T37:T37">T36</f>
        <v>false</v>
      </c>
      <c r="AA37" s="1513"/>
      <c r="AB37" s="403" t="str">
        <f>AB36&amp;".1"</f>
        <v>2.0.1</v>
      </c>
      <c r="AC37" s="291" t="s">
        <v>1176</v>
      </c>
      <c r="AD37" s="154" t="s">
        <v>1177</v>
      </c>
      <c r="AE37" s="166"/>
      <c r="AF37" s="166"/>
      <c r="AG37" s="166"/>
      <c r="AH37" s="166"/>
      <c r="AI37" s="297"/>
      <c r="AJ37" s="297"/>
      <c r="AK37" s="80"/>
      <c r="AN37" s="1182" t="s">
        <v>1188</v>
      </c>
      <c r="AO37" s="1188" t="s">
        <v>1186</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1179</v>
      </c>
      <c r="AD38" s="154" t="s">
        <v>1180</v>
      </c>
      <c r="AE38" s="166"/>
      <c r="AF38" s="166"/>
      <c r="AG38" s="166"/>
      <c r="AH38" s="166"/>
      <c r="AI38" s="297"/>
      <c r="AJ38" s="297"/>
      <c r="AK38" s="80"/>
      <c r="AN38" s="1182" t="s">
        <v>1189</v>
      </c>
      <c r="AO38" s="1188" t="s">
        <v>1186</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926</v>
      </c>
      <c r="AB39" s="299"/>
      <c r="AC39" s="300" t="s">
        <v>237</v>
      </c>
      <c r="AD39" s="300"/>
      <c r="AE39" s="300"/>
      <c r="AF39" s="300"/>
      <c r="AG39" s="300"/>
      <c r="AH39" s="300"/>
      <c r="AI39" s="300"/>
      <c r="AJ39" s="300"/>
      <c r="AK39" s="1099"/>
      <c r="AN39" s="1182" t="s">
        <v>242</v>
      </c>
      <c r="AO39" s="1188"/>
      <c r="AP39" s="1188"/>
      <c r="AQ39" s="1189" t="s">
        <v>1186</v>
      </c>
      <c r="AR39" s="1189"/>
    </row>
    <row s="1444" customFormat="1" customHeight="1" ht="24.180000000000003" hidden="1">
      <c r="E40" s="800">
        <v>24.8</v>
      </c>
      <c r="F40" s="920" cm="1" t="str">
        <f t="array" ref="F40:F40">OFFSET(G40,-1,-1)</f>
        <v>0</v>
      </c>
      <c r="G40" s="736" t="s">
        <v>1190</v>
      </c>
      <c r="H40" s="210" t="s">
        <v>1159</v>
      </c>
      <c r="T40" s="816">
        <f>F40&gt;0</f>
        <v>0</v>
      </c>
      <c r="AB40" s="403" t="s">
        <v>608</v>
      </c>
      <c r="AC40" s="404" t="s">
        <v>1191</v>
      </c>
      <c r="AD40" s="154" t="s">
        <v>799</v>
      </c>
      <c r="AE40" s="108"/>
      <c r="AF40" s="108"/>
      <c r="AG40" s="108"/>
      <c r="AH40" s="108"/>
      <c r="AI40" s="279">
        <f>_xlfn.SUMIFS(AI41:AI45,$AD41:$AD45,$AD40)</f>
        <v>0</v>
      </c>
      <c r="AJ40" s="279">
        <f>_xlfn.SUMIFS(AJ41:AJ45,$AD41:$AD45,$AD40)</f>
        <v>0</v>
      </c>
      <c r="AK40" s="80"/>
      <c r="AN40" s="1182" t="s">
        <v>1192</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1159</v>
      </c>
      <c r="I42" s="210" cm="1" t="str">
        <f t="array" ref="I42:I42">AC42</f>
        <v>0</v>
      </c>
      <c r="T42" s="816">
        <f>AND(F42&gt;0,Y42&gt;0)</f>
        <v>0</v>
      </c>
      <c r="W42" s="156" t="s">
        <v>235</v>
      </c>
      <c r="Y42" s="168">
        <v>0</v>
      </c>
      <c r="AA42" s="1513" t="s">
        <v>219</v>
      </c>
      <c r="AB42" s="403" t="str">
        <f>"3."&amp;Y42</f>
        <v>3.0</v>
      </c>
      <c r="AC42" s="55"/>
      <c r="AD42" s="154" t="s">
        <v>799</v>
      </c>
      <c r="AE42" s="166"/>
      <c r="AF42" s="166"/>
      <c r="AG42" s="166"/>
      <c r="AH42" s="166"/>
      <c r="AI42" s="280">
        <f>AI43*AI44*12/1000</f>
        <v>0</v>
      </c>
      <c r="AJ42" s="280">
        <f>AJ43*AJ44*12/1000</f>
        <v>0</v>
      </c>
      <c r="AK42" s="80"/>
      <c r="AN42" s="1182" t="s">
        <v>1193</v>
      </c>
      <c r="AO42" s="1188" t="s">
        <v>1194</v>
      </c>
      <c r="AP42" s="1188" cm="1" t="str">
        <f t="array" ref="AP42:AP42">AC42</f>
        <v>0</v>
      </c>
      <c r="AQ42" s="1189"/>
      <c r="AR42" s="1189" t="b">
        <v>1</v>
      </c>
    </row>
    <row s="1444" customFormat="1" customHeight="1" ht="16.575" hidden="1">
      <c r="E43" s="800">
        <v>17</v>
      </c>
      <c r="F43" s="920" cm="1" t="str">
        <f t="array" ref="F43:F43">OFFSET(G43,-1,-1)</f>
        <v>0</v>
      </c>
      <c r="G43" s="736" t="s">
        <v>1195</v>
      </c>
      <c r="H43" s="210" t="str">
        <f>H42&amp;"_1"</f>
        <v>L5_1</v>
      </c>
      <c r="I43" s="210" cm="1" t="str">
        <f t="array" ref="I43:I43">I42</f>
        <v>0</v>
      </c>
      <c r="T43" s="816" cm="1" t="str">
        <f t="array" ref="T43:T43">T42</f>
        <v>false</v>
      </c>
      <c r="AA43" s="1513"/>
      <c r="AB43" s="403" t="str">
        <f>AB42&amp;".1"</f>
        <v>3.0.1</v>
      </c>
      <c r="AC43" s="291" t="s">
        <v>1176</v>
      </c>
      <c r="AD43" s="154" t="s">
        <v>1177</v>
      </c>
      <c r="AE43" s="166"/>
      <c r="AF43" s="166"/>
      <c r="AG43" s="166"/>
      <c r="AH43" s="166"/>
      <c r="AI43" s="297"/>
      <c r="AJ43" s="297"/>
      <c r="AK43" s="80"/>
      <c r="AN43" s="1182" t="s">
        <v>1196</v>
      </c>
      <c r="AO43" s="1188" t="s">
        <v>1194</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1179</v>
      </c>
      <c r="AD44" s="154" t="s">
        <v>1180</v>
      </c>
      <c r="AE44" s="166"/>
      <c r="AF44" s="166"/>
      <c r="AG44" s="166"/>
      <c r="AH44" s="166"/>
      <c r="AI44" s="297"/>
      <c r="AJ44" s="297"/>
      <c r="AK44" s="80"/>
      <c r="AN44" s="1182" t="s">
        <v>1197</v>
      </c>
      <c r="AO44" s="1188" t="s">
        <v>1194</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1166</v>
      </c>
      <c r="AB45" s="299"/>
      <c r="AC45" s="300" t="s">
        <v>237</v>
      </c>
      <c r="AD45" s="300"/>
      <c r="AE45" s="300"/>
      <c r="AF45" s="300"/>
      <c r="AG45" s="300"/>
      <c r="AH45" s="300"/>
      <c r="AI45" s="300"/>
      <c r="AJ45" s="300"/>
      <c r="AK45" s="1099"/>
      <c r="AN45" s="1182" t="s">
        <v>242</v>
      </c>
      <c r="AO45" s="1188"/>
      <c r="AP45" s="1188"/>
      <c r="AQ45" s="1189" t="s">
        <v>1194</v>
      </c>
      <c r="AR45" s="1189"/>
    </row>
    <row s="1444" customFormat="1" customHeight="1" ht="24.180000000000003" hidden="1">
      <c r="E46" s="800">
        <v>24.8</v>
      </c>
      <c r="F46" s="920" cm="1" t="str">
        <f t="array" ref="F46:F46">OFFSET(G46,-1,-1)</f>
        <v>0</v>
      </c>
      <c r="G46" s="736" t="s">
        <v>1198</v>
      </c>
      <c r="H46" s="210" t="s">
        <v>1159</v>
      </c>
      <c r="T46" s="816">
        <f>F46&gt;0</f>
        <v>0</v>
      </c>
      <c r="AB46" s="403" t="s">
        <v>618</v>
      </c>
      <c r="AC46" s="404" t="s">
        <v>1199</v>
      </c>
      <c r="AD46" s="154" t="s">
        <v>799</v>
      </c>
      <c r="AE46" s="108"/>
      <c r="AF46" s="108"/>
      <c r="AG46" s="108"/>
      <c r="AH46" s="108"/>
      <c r="AI46" s="279">
        <f>_xlfn.SUMIFS(AI47:AI51,$AD47:$AD51,$AD46)</f>
        <v>0</v>
      </c>
      <c r="AJ46" s="279">
        <f>_xlfn.SUMIFS(AJ47:AJ51,$AD47:$AD51,$AD46)</f>
        <v>0</v>
      </c>
      <c r="AK46" s="80"/>
      <c r="AN46" s="1182" t="s">
        <v>1200</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1159</v>
      </c>
      <c r="I48" s="210" cm="1" t="str">
        <f t="array" ref="I48:I48">AC48</f>
        <v>0</v>
      </c>
      <c r="T48" s="816">
        <f>AND(F48&gt;0,Y48&gt;0)</f>
        <v>0</v>
      </c>
      <c r="W48" s="156" t="s">
        <v>235</v>
      </c>
      <c r="Y48" s="168">
        <v>0</v>
      </c>
      <c r="AA48" s="1513" t="s">
        <v>219</v>
      </c>
      <c r="AB48" s="403" t="str">
        <f>"4."&amp;Y48</f>
        <v>4.0</v>
      </c>
      <c r="AC48" s="55"/>
      <c r="AD48" s="154" t="s">
        <v>799</v>
      </c>
      <c r="AE48" s="166"/>
      <c r="AF48" s="166"/>
      <c r="AG48" s="166"/>
      <c r="AH48" s="166"/>
      <c r="AI48" s="280">
        <f>AI49*AI50*12/1000</f>
        <v>0</v>
      </c>
      <c r="AJ48" s="280">
        <f>AJ49*AJ50*12/1000</f>
        <v>0</v>
      </c>
      <c r="AK48" s="80"/>
      <c r="AN48" s="1182" t="s">
        <v>1201</v>
      </c>
      <c r="AO48" s="1188" t="s">
        <v>1202</v>
      </c>
      <c r="AP48" s="1188" cm="1" t="str">
        <f t="array" ref="AP48:AP48">AC48</f>
        <v>0</v>
      </c>
      <c r="AQ48" s="1189"/>
      <c r="AR48" s="1189" t="b">
        <v>1</v>
      </c>
    </row>
    <row s="1444" customFormat="1" customHeight="1" ht="16.575" hidden="1">
      <c r="E49" s="800">
        <v>17</v>
      </c>
      <c r="F49" s="920" cm="1" t="str">
        <f t="array" ref="F49:F49">OFFSET(G49,-1,-1)</f>
        <v>0</v>
      </c>
      <c r="G49" s="736" t="s">
        <v>1203</v>
      </c>
      <c r="H49" s="210" t="str">
        <f>H48&amp;"_1"</f>
        <v>L5_1</v>
      </c>
      <c r="I49" s="210" cm="1" t="str">
        <f t="array" ref="I49:I49">I48</f>
        <v>0</v>
      </c>
      <c r="T49" s="816" cm="1" t="str">
        <f t="array" ref="T49:T49">T48</f>
        <v>false</v>
      </c>
      <c r="AA49" s="1513"/>
      <c r="AB49" s="403" t="str">
        <f>AB48&amp;".1"</f>
        <v>4.0.1</v>
      </c>
      <c r="AC49" s="291" t="s">
        <v>1176</v>
      </c>
      <c r="AD49" s="154" t="s">
        <v>1177</v>
      </c>
      <c r="AE49" s="166"/>
      <c r="AF49" s="166"/>
      <c r="AG49" s="166"/>
      <c r="AH49" s="166"/>
      <c r="AI49" s="297"/>
      <c r="AJ49" s="297"/>
      <c r="AK49" s="80"/>
      <c r="AN49" s="1182" t="s">
        <v>1204</v>
      </c>
      <c r="AO49" s="1188" t="s">
        <v>1202</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1179</v>
      </c>
      <c r="AD50" s="154" t="s">
        <v>1180</v>
      </c>
      <c r="AE50" s="166"/>
      <c r="AF50" s="166"/>
      <c r="AG50" s="166"/>
      <c r="AH50" s="166"/>
      <c r="AI50" s="297"/>
      <c r="AJ50" s="297"/>
      <c r="AK50" s="80"/>
      <c r="AN50" s="1182" t="s">
        <v>1205</v>
      </c>
      <c r="AO50" s="1188" t="s">
        <v>1202</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1206</v>
      </c>
      <c r="AB51" s="299"/>
      <c r="AC51" s="300" t="s">
        <v>237</v>
      </c>
      <c r="AD51" s="300"/>
      <c r="AE51" s="300"/>
      <c r="AF51" s="300"/>
      <c r="AG51" s="300"/>
      <c r="AH51" s="300"/>
      <c r="AI51" s="300"/>
      <c r="AJ51" s="300"/>
      <c r="AK51" s="301"/>
      <c r="AN51" s="1182"/>
      <c r="AO51" s="1188"/>
      <c r="AP51" s="1188"/>
      <c r="AQ51" s="1189" t="s">
        <v>1202</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услуги по передаче тепловой энергии, теплоносителя (Не определено)</v>
      </c>
      <c r="W52" s="1444"/>
      <c r="X52" s="168" t="s">
        <v>337</v>
      </c>
      <c r="Y52" s="1444"/>
      <c r="Z52" s="1444"/>
      <c r="AA52" s="1444"/>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1169</v>
      </c>
      <c r="H53" s="210" t="s">
        <v>1170</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1171</v>
      </c>
      <c r="AD53" s="154" t="s">
        <v>799</v>
      </c>
      <c r="AE53" s="1898"/>
      <c r="AF53" s="1898"/>
      <c r="AG53" s="1898"/>
      <c r="AH53" s="1898"/>
      <c r="AI53" s="279">
        <f>_xlfn.SUMIFS(AI54:AI58,$AD54:$AD58,$AD53)</f>
        <v>0</v>
      </c>
      <c r="AJ53" s="279">
        <f>_xlfn.SUMIFS(AJ54:AJ58,$AD54:$AD58,$AD53)</f>
        <v>0</v>
      </c>
      <c r="AK53" s="1864"/>
      <c r="AL53" s="1444"/>
      <c r="AM53" s="1444"/>
      <c r="AN53" s="1182" t="s">
        <v>1172</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242</v>
      </c>
      <c r="AO54" s="1188"/>
      <c r="AP54" s="1188"/>
      <c r="AQ54" s="1189"/>
      <c r="AR54" s="1189"/>
    </row>
    <row s="789" customFormat="1" customHeight="1" ht="16.5" hidden="1">
      <c r="A55" s="1444"/>
      <c r="B55" s="1444"/>
      <c r="C55" s="1444"/>
      <c r="D55" s="1444"/>
      <c r="E55" s="800">
        <v>17</v>
      </c>
      <c r="F55" s="920" cm="1" t="str">
        <f t="array" ref="F55:F55">OFFSET(G55,-1,-1)</f>
        <v>1</v>
      </c>
      <c r="G55" s="1444"/>
      <c r="H55" s="210" t="s">
        <v>1170</v>
      </c>
      <c r="I55" s="210" cm="1" t="str">
        <f t="array" ref="I55:I55">AC55</f>
        <v>0</v>
      </c>
      <c r="J55" s="1444"/>
      <c r="K55" s="1444"/>
      <c r="L55" s="1444"/>
      <c r="M55" s="1444"/>
      <c r="N55" s="1444"/>
      <c r="O55" s="1444"/>
      <c r="P55" s="1444"/>
      <c r="Q55" s="1444"/>
      <c r="R55" s="1444"/>
      <c r="S55" s="1444"/>
      <c r="T55" s="816">
        <f>AND(F55&gt;0,Y55&gt;0)</f>
        <v>0</v>
      </c>
      <c r="U55" s="1444"/>
      <c r="V55" s="1444"/>
      <c r="W55" s="156" t="s">
        <v>235</v>
      </c>
      <c r="X55" s="1444"/>
      <c r="Y55" s="168">
        <v>0</v>
      </c>
      <c r="Z55" s="1444"/>
      <c r="AA55" s="1513" t="s">
        <v>219</v>
      </c>
      <c r="AB55" s="403" t="str">
        <f>"1."&amp;Y55</f>
        <v>1.0</v>
      </c>
      <c r="AC55" s="55"/>
      <c r="AD55" s="154" t="s">
        <v>799</v>
      </c>
      <c r="AE55" s="166"/>
      <c r="AF55" s="166"/>
      <c r="AG55" s="166"/>
      <c r="AH55" s="166"/>
      <c r="AI55" s="280">
        <f>AI56*AI57*12/1000</f>
        <v>0</v>
      </c>
      <c r="AJ55" s="280">
        <f>AJ56*AJ57*12/1000</f>
        <v>0</v>
      </c>
      <c r="AK55" s="80"/>
      <c r="AL55" s="1444"/>
      <c r="AM55" s="1444"/>
      <c r="AN55" s="1182" t="s">
        <v>1173</v>
      </c>
      <c r="AO55" s="1188" t="s">
        <v>1174</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1175</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1176</v>
      </c>
      <c r="AD56" s="154" t="s">
        <v>1177</v>
      </c>
      <c r="AE56" s="166"/>
      <c r="AF56" s="166"/>
      <c r="AG56" s="166"/>
      <c r="AH56" s="166"/>
      <c r="AI56" s="297"/>
      <c r="AJ56" s="297"/>
      <c r="AK56" s="80"/>
      <c r="AL56" s="1444"/>
      <c r="AM56" s="1444"/>
      <c r="AN56" s="1182" t="s">
        <v>1178</v>
      </c>
      <c r="AO56" s="1188" t="s">
        <v>1174</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1179</v>
      </c>
      <c r="AD57" s="154" t="s">
        <v>1180</v>
      </c>
      <c r="AE57" s="166"/>
      <c r="AF57" s="166"/>
      <c r="AG57" s="166"/>
      <c r="AH57" s="166"/>
      <c r="AI57" s="297"/>
      <c r="AJ57" s="297"/>
      <c r="AK57" s="80"/>
      <c r="AL57" s="1444"/>
      <c r="AM57" s="1444"/>
      <c r="AN57" s="1182" t="s">
        <v>1181</v>
      </c>
      <c r="AO57" s="1188" t="s">
        <v>1174</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915</v>
      </c>
      <c r="X58" s="1444"/>
      <c r="Y58" s="1444"/>
      <c r="Z58" s="1444"/>
      <c r="AA58" s="1444"/>
      <c r="AB58" s="299"/>
      <c r="AC58" s="300" t="s">
        <v>237</v>
      </c>
      <c r="AD58" s="300"/>
      <c r="AE58" s="300"/>
      <c r="AF58" s="300"/>
      <c r="AG58" s="300"/>
      <c r="AH58" s="300"/>
      <c r="AI58" s="300"/>
      <c r="AJ58" s="300"/>
      <c r="AK58" s="1099"/>
      <c r="AL58" s="1444"/>
      <c r="AM58" s="1444"/>
      <c r="AN58" s="1182" t="s">
        <v>242</v>
      </c>
      <c r="AO58" s="1188"/>
      <c r="AP58" s="1188"/>
      <c r="AQ58" s="1189" t="s">
        <v>1174</v>
      </c>
      <c r="AR58" s="1189"/>
    </row>
    <row s="789" customFormat="1" customHeight="1" ht="24">
      <c r="A59" s="1444"/>
      <c r="B59" s="1444"/>
      <c r="C59" s="1444"/>
      <c r="D59" s="1444"/>
      <c r="E59" s="800">
        <v>24.8</v>
      </c>
      <c r="F59" s="920" cm="1" t="str">
        <f t="array" ref="F59:F59">OFFSET(G59,-1,-1)</f>
        <v>1</v>
      </c>
      <c r="G59" s="736" t="s">
        <v>1182</v>
      </c>
      <c r="H59" s="210" t="s">
        <v>1159</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440</v>
      </c>
      <c r="AC59" s="404" t="s">
        <v>1183</v>
      </c>
      <c r="AD59" s="154" t="s">
        <v>799</v>
      </c>
      <c r="AE59" s="1898"/>
      <c r="AF59" s="1898"/>
      <c r="AG59" s="1898"/>
      <c r="AH59" s="1898"/>
      <c r="AI59" s="279">
        <f>_xlfn.SUMIFS(AI60:AI64,$AD60:$AD64,$AD59)</f>
        <v>0</v>
      </c>
      <c r="AJ59" s="279">
        <f>_xlfn.SUMIFS(AJ60:AJ64,$AD60:$AD64,$AD59)</f>
        <v>0</v>
      </c>
      <c r="AK59" s="1864"/>
      <c r="AL59" s="1444"/>
      <c r="AM59" s="1444"/>
      <c r="AN59" s="1182" t="s">
        <v>1184</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1159</v>
      </c>
      <c r="I61" s="210" cm="1" t="str">
        <f t="array" ref="I61:I61">AC61</f>
        <v>0</v>
      </c>
      <c r="J61" s="1444"/>
      <c r="K61" s="1444"/>
      <c r="L61" s="1444"/>
      <c r="M61" s="1444"/>
      <c r="N61" s="1444"/>
      <c r="O61" s="1444"/>
      <c r="P61" s="1444"/>
      <c r="Q61" s="1444"/>
      <c r="R61" s="1444"/>
      <c r="S61" s="1444"/>
      <c r="T61" s="816">
        <f>AND(F61&gt;0,Y61&gt;0)</f>
        <v>0</v>
      </c>
      <c r="U61" s="1444"/>
      <c r="V61" s="1444"/>
      <c r="W61" s="156" t="s">
        <v>235</v>
      </c>
      <c r="X61" s="1444"/>
      <c r="Y61" s="168">
        <v>0</v>
      </c>
      <c r="Z61" s="1444"/>
      <c r="AA61" s="1513" t="s">
        <v>219</v>
      </c>
      <c r="AB61" s="403" t="str">
        <f>"2."&amp;Y61</f>
        <v>2.0</v>
      </c>
      <c r="AC61" s="55"/>
      <c r="AD61" s="154" t="s">
        <v>799</v>
      </c>
      <c r="AE61" s="166"/>
      <c r="AF61" s="166"/>
      <c r="AG61" s="166"/>
      <c r="AH61" s="166"/>
      <c r="AI61" s="280">
        <f>AI62*AI63*12/1000</f>
        <v>0</v>
      </c>
      <c r="AJ61" s="280">
        <f>AJ62*AJ63*12/1000</f>
        <v>0</v>
      </c>
      <c r="AK61" s="80"/>
      <c r="AL61" s="1444"/>
      <c r="AM61" s="1444"/>
      <c r="AN61" s="1182" t="s">
        <v>1185</v>
      </c>
      <c r="AO61" s="1188" t="s">
        <v>1186</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1187</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1176</v>
      </c>
      <c r="AD62" s="154" t="s">
        <v>1177</v>
      </c>
      <c r="AE62" s="166"/>
      <c r="AF62" s="166"/>
      <c r="AG62" s="166"/>
      <c r="AH62" s="166"/>
      <c r="AI62" s="297"/>
      <c r="AJ62" s="297"/>
      <c r="AK62" s="80"/>
      <c r="AL62" s="1444"/>
      <c r="AM62" s="1444"/>
      <c r="AN62" s="1182" t="s">
        <v>1188</v>
      </c>
      <c r="AO62" s="1188" t="s">
        <v>1186</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1179</v>
      </c>
      <c r="AD63" s="154" t="s">
        <v>1180</v>
      </c>
      <c r="AE63" s="166"/>
      <c r="AF63" s="166"/>
      <c r="AG63" s="166"/>
      <c r="AH63" s="166"/>
      <c r="AI63" s="297"/>
      <c r="AJ63" s="297"/>
      <c r="AK63" s="80"/>
      <c r="AL63" s="1444"/>
      <c r="AM63" s="1444"/>
      <c r="AN63" s="1182" t="s">
        <v>1189</v>
      </c>
      <c r="AO63" s="1188" t="s">
        <v>1186</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926</v>
      </c>
      <c r="X64" s="1444"/>
      <c r="Y64" s="1444"/>
      <c r="Z64" s="1444"/>
      <c r="AA64" s="1444"/>
      <c r="AB64" s="299"/>
      <c r="AC64" s="300" t="s">
        <v>237</v>
      </c>
      <c r="AD64" s="300"/>
      <c r="AE64" s="300"/>
      <c r="AF64" s="300"/>
      <c r="AG64" s="300"/>
      <c r="AH64" s="300"/>
      <c r="AI64" s="300"/>
      <c r="AJ64" s="300"/>
      <c r="AK64" s="1099"/>
      <c r="AL64" s="1444"/>
      <c r="AM64" s="1444"/>
      <c r="AN64" s="1182" t="s">
        <v>242</v>
      </c>
      <c r="AO64" s="1188"/>
      <c r="AP64" s="1188"/>
      <c r="AQ64" s="1189" t="s">
        <v>1186</v>
      </c>
      <c r="AR64" s="1189"/>
    </row>
    <row s="789" customFormat="1" customHeight="1" ht="24">
      <c r="A65" s="1444"/>
      <c r="B65" s="1444"/>
      <c r="C65" s="1444"/>
      <c r="D65" s="1444"/>
      <c r="E65" s="800">
        <v>24.8</v>
      </c>
      <c r="F65" s="920" cm="1" t="str">
        <f t="array" ref="F65:F65">OFFSET(G65,-1,-1)</f>
        <v>1</v>
      </c>
      <c r="G65" s="736" t="s">
        <v>1190</v>
      </c>
      <c r="H65" s="210" t="s">
        <v>1159</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608</v>
      </c>
      <c r="AC65" s="404" t="s">
        <v>1191</v>
      </c>
      <c r="AD65" s="154" t="s">
        <v>799</v>
      </c>
      <c r="AE65" s="1898"/>
      <c r="AF65" s="1898"/>
      <c r="AG65" s="1898"/>
      <c r="AH65" s="1898"/>
      <c r="AI65" s="279">
        <f>_xlfn.SUMIFS(AI66:AI70,$AD66:$AD70,$AD65)</f>
        <v>0</v>
      </c>
      <c r="AJ65" s="279">
        <f>_xlfn.SUMIFS(AJ66:AJ70,$AD66:$AD70,$AD65)</f>
        <v>0</v>
      </c>
      <c r="AK65" s="1864"/>
      <c r="AL65" s="1444"/>
      <c r="AM65" s="1444"/>
      <c r="AN65" s="1182" t="s">
        <v>1192</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1159</v>
      </c>
      <c r="I67" s="210" cm="1" t="str">
        <f t="array" ref="I67:I67">AC67</f>
        <v>0</v>
      </c>
      <c r="J67" s="1444"/>
      <c r="K67" s="1444"/>
      <c r="L67" s="1444"/>
      <c r="M67" s="1444"/>
      <c r="N67" s="1444"/>
      <c r="O67" s="1444"/>
      <c r="P67" s="1444"/>
      <c r="Q67" s="1444"/>
      <c r="R67" s="1444"/>
      <c r="S67" s="1444"/>
      <c r="T67" s="816">
        <f>AND(F67&gt;0,Y67&gt;0)</f>
        <v>0</v>
      </c>
      <c r="U67" s="1444"/>
      <c r="V67" s="1444"/>
      <c r="W67" s="156" t="s">
        <v>235</v>
      </c>
      <c r="X67" s="1444"/>
      <c r="Y67" s="168">
        <v>0</v>
      </c>
      <c r="Z67" s="1444"/>
      <c r="AA67" s="1513" t="s">
        <v>219</v>
      </c>
      <c r="AB67" s="403" t="str">
        <f>"3."&amp;Y67</f>
        <v>3.0</v>
      </c>
      <c r="AC67" s="55"/>
      <c r="AD67" s="154" t="s">
        <v>799</v>
      </c>
      <c r="AE67" s="166"/>
      <c r="AF67" s="166"/>
      <c r="AG67" s="166"/>
      <c r="AH67" s="166"/>
      <c r="AI67" s="280">
        <f>AI68*AI69*12/1000</f>
        <v>0</v>
      </c>
      <c r="AJ67" s="280">
        <f>AJ68*AJ69*12/1000</f>
        <v>0</v>
      </c>
      <c r="AK67" s="80"/>
      <c r="AL67" s="1444"/>
      <c r="AM67" s="1444"/>
      <c r="AN67" s="1182" t="s">
        <v>1193</v>
      </c>
      <c r="AO67" s="1188" t="s">
        <v>1194</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1195</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1176</v>
      </c>
      <c r="AD68" s="154" t="s">
        <v>1177</v>
      </c>
      <c r="AE68" s="166"/>
      <c r="AF68" s="166"/>
      <c r="AG68" s="166"/>
      <c r="AH68" s="166"/>
      <c r="AI68" s="297"/>
      <c r="AJ68" s="297"/>
      <c r="AK68" s="80"/>
      <c r="AL68" s="1444"/>
      <c r="AM68" s="1444"/>
      <c r="AN68" s="1182" t="s">
        <v>1196</v>
      </c>
      <c r="AO68" s="1188" t="s">
        <v>1194</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1179</v>
      </c>
      <c r="AD69" s="154" t="s">
        <v>1180</v>
      </c>
      <c r="AE69" s="166"/>
      <c r="AF69" s="166"/>
      <c r="AG69" s="166"/>
      <c r="AH69" s="166"/>
      <c r="AI69" s="297"/>
      <c r="AJ69" s="297"/>
      <c r="AK69" s="80"/>
      <c r="AL69" s="1444"/>
      <c r="AM69" s="1444"/>
      <c r="AN69" s="1182" t="s">
        <v>1197</v>
      </c>
      <c r="AO69" s="1188" t="s">
        <v>1194</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1166</v>
      </c>
      <c r="X70" s="1444"/>
      <c r="Y70" s="1444"/>
      <c r="Z70" s="1444"/>
      <c r="AA70" s="1444"/>
      <c r="AB70" s="299"/>
      <c r="AC70" s="300" t="s">
        <v>237</v>
      </c>
      <c r="AD70" s="300"/>
      <c r="AE70" s="300"/>
      <c r="AF70" s="300"/>
      <c r="AG70" s="300"/>
      <c r="AH70" s="300"/>
      <c r="AI70" s="300"/>
      <c r="AJ70" s="300"/>
      <c r="AK70" s="1099"/>
      <c r="AL70" s="1444"/>
      <c r="AM70" s="1444"/>
      <c r="AN70" s="1182" t="s">
        <v>242</v>
      </c>
      <c r="AO70" s="1188"/>
      <c r="AP70" s="1188"/>
      <c r="AQ70" s="1189" t="s">
        <v>1194</v>
      </c>
      <c r="AR70" s="1189"/>
    </row>
    <row s="789" customFormat="1" customHeight="1" ht="24">
      <c r="A71" s="1444"/>
      <c r="B71" s="1444"/>
      <c r="C71" s="1444"/>
      <c r="D71" s="1444"/>
      <c r="E71" s="800">
        <v>24.8</v>
      </c>
      <c r="F71" s="920" cm="1" t="str">
        <f t="array" ref="F71:F71">OFFSET(G71,-1,-1)</f>
        <v>1</v>
      </c>
      <c r="G71" s="736" t="s">
        <v>1198</v>
      </c>
      <c r="H71" s="210" t="s">
        <v>1159</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618</v>
      </c>
      <c r="AC71" s="404" t="s">
        <v>1199</v>
      </c>
      <c r="AD71" s="154" t="s">
        <v>799</v>
      </c>
      <c r="AE71" s="1898"/>
      <c r="AF71" s="1898"/>
      <c r="AG71" s="1898"/>
      <c r="AH71" s="1898"/>
      <c r="AI71" s="279">
        <f>_xlfn.SUMIFS(AI72:AI76,$AD72:$AD76,$AD71)</f>
        <v>0</v>
      </c>
      <c r="AJ71" s="279">
        <f>_xlfn.SUMIFS(AJ72:AJ76,$AD72:$AD76,$AD71)</f>
        <v>0</v>
      </c>
      <c r="AK71" s="1864"/>
      <c r="AL71" s="1444"/>
      <c r="AM71" s="1444"/>
      <c r="AN71" s="1182" t="s">
        <v>1200</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1159</v>
      </c>
      <c r="I73" s="210" cm="1" t="str">
        <f t="array" ref="I73:I73">AC73</f>
        <v>0</v>
      </c>
      <c r="J73" s="1444"/>
      <c r="K73" s="1444"/>
      <c r="L73" s="1444"/>
      <c r="M73" s="1444"/>
      <c r="N73" s="1444"/>
      <c r="O73" s="1444"/>
      <c r="P73" s="1444"/>
      <c r="Q73" s="1444"/>
      <c r="R73" s="1444"/>
      <c r="S73" s="1444"/>
      <c r="T73" s="816">
        <f>AND(F73&gt;0,Y73&gt;0)</f>
        <v>0</v>
      </c>
      <c r="U73" s="1444"/>
      <c r="V73" s="1444"/>
      <c r="W73" s="156" t="s">
        <v>235</v>
      </c>
      <c r="X73" s="1444"/>
      <c r="Y73" s="168">
        <v>0</v>
      </c>
      <c r="Z73" s="1444"/>
      <c r="AA73" s="1513" t="s">
        <v>219</v>
      </c>
      <c r="AB73" s="403" t="str">
        <f>"4."&amp;Y73</f>
        <v>4.0</v>
      </c>
      <c r="AC73" s="55"/>
      <c r="AD73" s="154" t="s">
        <v>799</v>
      </c>
      <c r="AE73" s="166"/>
      <c r="AF73" s="166"/>
      <c r="AG73" s="166"/>
      <c r="AH73" s="166"/>
      <c r="AI73" s="280">
        <f>AI74*AI75*12/1000</f>
        <v>0</v>
      </c>
      <c r="AJ73" s="280">
        <f>AJ74*AJ75*12/1000</f>
        <v>0</v>
      </c>
      <c r="AK73" s="80"/>
      <c r="AL73" s="1444"/>
      <c r="AM73" s="1444"/>
      <c r="AN73" s="1182" t="s">
        <v>1201</v>
      </c>
      <c r="AO73" s="1188" t="s">
        <v>1202</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1203</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1176</v>
      </c>
      <c r="AD74" s="154" t="s">
        <v>1177</v>
      </c>
      <c r="AE74" s="166"/>
      <c r="AF74" s="166"/>
      <c r="AG74" s="166"/>
      <c r="AH74" s="166"/>
      <c r="AI74" s="297"/>
      <c r="AJ74" s="297"/>
      <c r="AK74" s="80"/>
      <c r="AL74" s="1444"/>
      <c r="AM74" s="1444"/>
      <c r="AN74" s="1182" t="s">
        <v>1204</v>
      </c>
      <c r="AO74" s="1188" t="s">
        <v>1202</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1179</v>
      </c>
      <c r="AD75" s="154" t="s">
        <v>1180</v>
      </c>
      <c r="AE75" s="166"/>
      <c r="AF75" s="166"/>
      <c r="AG75" s="166"/>
      <c r="AH75" s="166"/>
      <c r="AI75" s="297"/>
      <c r="AJ75" s="297"/>
      <c r="AK75" s="80"/>
      <c r="AL75" s="1444"/>
      <c r="AM75" s="1444"/>
      <c r="AN75" s="1182" t="s">
        <v>1205</v>
      </c>
      <c r="AO75" s="1188" t="s">
        <v>1202</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1206</v>
      </c>
      <c r="X76" s="1444"/>
      <c r="Y76" s="1444"/>
      <c r="Z76" s="1444"/>
      <c r="AA76" s="1444"/>
      <c r="AB76" s="299"/>
      <c r="AC76" s="300" t="s">
        <v>237</v>
      </c>
      <c r="AD76" s="300"/>
      <c r="AE76" s="300"/>
      <c r="AF76" s="300"/>
      <c r="AG76" s="300"/>
      <c r="AH76" s="300"/>
      <c r="AI76" s="300"/>
      <c r="AJ76" s="300"/>
      <c r="AK76" s="301"/>
      <c r="AL76" s="1444"/>
      <c r="AM76" s="1444"/>
      <c r="AN76" s="1182"/>
      <c r="AO76" s="1188"/>
      <c r="AP76" s="1188"/>
      <c r="AQ76" s="1189" t="s">
        <v>1202</v>
      </c>
      <c r="AR76" s="1189"/>
    </row>
    <row customHeight="1" ht="11.115">
      <c r="E77" s="794">
        <v>11.4</v>
      </c>
      <c r="U77" s="176" t="s">
        <v>237</v>
      </c>
      <c r="V77" s="168" t="s">
        <v>1207</v>
      </c>
      <c r="AI77" s="497"/>
      <c r="AJ77" s="497"/>
    </row>
    <row customHeight="1" ht="11.25" hidden="1">
      <c r="E78" s="794">
        <v>0</v>
      </c>
      <c r="AI78" s="497"/>
      <c r="AJ78" s="497"/>
    </row>
    <row customHeight="1" ht="14.625">
      <c r="E79" s="794">
        <v>15</v>
      </c>
      <c r="AB79" s="1507" t="s">
        <v>694</v>
      </c>
      <c r="AC79" s="1507"/>
      <c r="AD79" s="1507"/>
      <c r="AE79" s="1507"/>
      <c r="AF79" s="1507"/>
      <c r="AG79" s="1507"/>
      <c r="AH79" s="1507"/>
      <c r="AI79" s="1519"/>
      <c r="AJ79" s="1519"/>
      <c r="AK79" s="1519"/>
    </row>
    <row customHeight="1" ht="14.625">
      <c r="E80" s="794">
        <v>15</v>
      </c>
      <c r="AA80" s="919"/>
      <c r="AB80" s="1509"/>
      <c r="AC80" s="1509"/>
      <c r="AD80" s="1509"/>
      <c r="AE80" s="1509"/>
      <c r="AF80" s="1509"/>
      <c r="AG80" s="1509"/>
      <c r="AH80" s="1509"/>
      <c r="AI80" s="1510"/>
      <c r="AJ80" s="1510"/>
      <c r="AK80" s="1510"/>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235</v>
      </c>
      <c r="X81" s="1437"/>
      <c r="Y81" s="1437"/>
      <c r="Z81" s="1437"/>
      <c r="AA81" s="915" t="s">
        <v>219</v>
      </c>
      <c r="AB81" s="1871"/>
      <c r="AC81" s="1871"/>
      <c r="AD81" s="1871"/>
      <c r="AE81" s="1871"/>
      <c r="AF81" s="1871"/>
      <c r="AG81" s="1871"/>
      <c r="AH81" s="1871"/>
      <c r="AI81" s="1510"/>
      <c r="AJ81" s="1510"/>
      <c r="AK81" s="1870"/>
      <c r="AL81" s="497"/>
      <c r="AM81" s="497"/>
      <c r="AN81" s="1217"/>
      <c r="AO81" s="1217"/>
      <c r="AP81" s="1217"/>
      <c r="AQ81" s="1228"/>
      <c r="AR81" s="1228"/>
    </row>
    <row customHeight="1" ht="14.625">
      <c r="E82" s="794">
        <v>15</v>
      </c>
      <c r="W82" s="168" t="s">
        <v>958</v>
      </c>
      <c r="AB82" s="1453" t="s">
        <v>695</v>
      </c>
      <c r="AC82" s="1454"/>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36A1A-7D48-11DE-4F6C-56F57990DC68}" mc:Ignorable="x14ac xr xr2 xr3">
  <sheetPr>
    <tabColor rgb="FF002060"/>
    <outlinePr summaryRight="0" summaryBelow="0"/>
    <pageSetUpPr fitToPage="1"/>
  </sheetPr>
  <dimension ref="A1:BJ63"/>
  <sheetViews>
    <sheetView showGridLines="0" workbookViewId="0">
      <pane xSplit="30" ySplit="26" topLeftCell="AE41"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371</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372</v>
      </c>
      <c r="BG1" s="1217" t="s">
        <v>373</v>
      </c>
      <c r="BH1" s="1217" t="s">
        <v>374</v>
      </c>
      <c r="BI1" s="1228" t="s">
        <v>377</v>
      </c>
      <c r="BJ1" s="1228" t="s">
        <v>378</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383</v>
      </c>
      <c r="B12" s="1214"/>
      <c r="E12" s="1214"/>
      <c r="G12" s="1218"/>
      <c r="H12" s="1218"/>
      <c r="I12" s="1218"/>
      <c r="J12" s="1218"/>
      <c r="K12" s="1218"/>
      <c r="L12" s="1218"/>
      <c r="M12" s="1218"/>
      <c r="N12" s="1218"/>
      <c r="O12" s="1218"/>
      <c r="P12" s="1218"/>
      <c r="Q12" s="1219"/>
      <c r="R12" s="1219"/>
      <c r="S12" s="1218"/>
      <c r="AC12" s="1215" t="s">
        <v>374</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482</v>
      </c>
      <c r="B18" s="925"/>
      <c r="E18" s="923"/>
      <c r="G18" s="497"/>
      <c r="H18" s="497"/>
      <c r="I18" s="497"/>
      <c r="J18" s="497"/>
      <c r="K18" s="497"/>
      <c r="L18" s="497"/>
      <c r="M18" s="497"/>
      <c r="N18" s="497"/>
      <c r="O18" s="497"/>
      <c r="P18" s="497"/>
      <c r="Q18" s="926"/>
      <c r="R18" s="926"/>
      <c r="S18" s="497"/>
      <c r="AC18" s="961" t="s">
        <v>427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Ульяновская область / 2026 / ООО "НИИАР-ГЕНЕРАЦИЯ" (ИНН:7329008990, КПП:732901001)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385</v>
      </c>
      <c r="AC24" s="1507" t="s">
        <v>427</v>
      </c>
      <c r="AD24" s="1507" t="s">
        <v>1113</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582</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401</v>
      </c>
      <c r="AF25" s="1354" t="s">
        <v>583</v>
      </c>
      <c r="AG25" s="167" t="s">
        <v>584</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311</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1208</v>
      </c>
      <c r="AD28" s="277" t="s">
        <v>799</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1209</v>
      </c>
      <c r="BG28" s="1182"/>
      <c r="BH28" s="1182"/>
      <c r="BI28" s="1185"/>
      <c r="BJ28" s="1185"/>
    </row>
    <row s="217" customFormat="1" customHeight="1" ht="58.5" hidden="1">
      <c r="E29" s="794">
        <v>60</v>
      </c>
      <c r="F29" s="920" cm="1" t="str">
        <f t="array" ref="F29:F29">OFFSET(G29,-1,-1)</f>
        <v>0</v>
      </c>
      <c r="G29" s="736" t="s">
        <v>1210</v>
      </c>
      <c r="T29" s="805" cm="1" t="str">
        <f t="array" ref="T29:T29">T28</f>
        <v>false</v>
      </c>
      <c r="AB29" s="285" t="s">
        <v>436</v>
      </c>
      <c r="AC29" s="501" t="s">
        <v>1211</v>
      </c>
      <c r="AD29" s="151" t="s">
        <v>799</v>
      </c>
      <c r="AE29" s="75"/>
      <c r="AF29" s="108"/>
      <c r="AG29" s="108"/>
      <c r="AH29" s="108"/>
      <c r="AI29" s="297"/>
      <c r="AJ29" s="1902"/>
      <c r="AK29" s="1902"/>
      <c r="AL29" s="108"/>
      <c r="AM29" s="108"/>
      <c r="AN29" s="108"/>
      <c r="AO29" s="108"/>
      <c r="AP29" s="108"/>
      <c r="AQ29" s="108"/>
      <c r="AR29" s="108"/>
      <c r="AS29" s="297"/>
      <c r="AT29" s="1902"/>
      <c r="AU29" s="1902"/>
      <c r="AV29" s="108"/>
      <c r="AW29" s="108"/>
      <c r="AX29" s="108"/>
      <c r="AY29" s="108"/>
      <c r="AZ29" s="108"/>
      <c r="BA29" s="108"/>
      <c r="BB29" s="108"/>
      <c r="BC29" s="74"/>
      <c r="BF29" s="1182" t="s">
        <v>1212</v>
      </c>
      <c r="BG29" s="1182"/>
      <c r="BH29" s="1182"/>
      <c r="BI29" s="1185"/>
      <c r="BJ29" s="1185"/>
    </row>
    <row s="217" customFormat="1" customHeight="1" ht="16.672500000000003" hidden="1">
      <c r="E30" s="794">
        <v>17.1</v>
      </c>
      <c r="F30" s="920" cm="1" t="str">
        <f t="array" ref="F30:F30">OFFSET(G30,-1,-1)</f>
        <v>0</v>
      </c>
      <c r="G30" s="736" t="s">
        <v>1213</v>
      </c>
      <c r="H30" s="210" t="s">
        <v>1214</v>
      </c>
      <c r="T30" s="805" cm="1" t="str">
        <f t="array" ref="T30:T30">T29</f>
        <v>false</v>
      </c>
      <c r="AB30" s="285" t="s">
        <v>899</v>
      </c>
      <c r="AC30" s="501" t="s">
        <v>1215</v>
      </c>
      <c r="AD30" s="151" t="s">
        <v>799</v>
      </c>
      <c r="AE30" s="75"/>
      <c r="AF30" s="108"/>
      <c r="AG30" s="108"/>
      <c r="AH30" s="108"/>
      <c r="AI30" s="297"/>
      <c r="AJ30" s="1902"/>
      <c r="AK30" s="1902"/>
      <c r="AL30" s="108"/>
      <c r="AM30" s="108"/>
      <c r="AN30" s="108"/>
      <c r="AO30" s="108"/>
      <c r="AP30" s="108"/>
      <c r="AQ30" s="108"/>
      <c r="AR30" s="108"/>
      <c r="AS30" s="297"/>
      <c r="AT30" s="1902"/>
      <c r="AU30" s="1902"/>
      <c r="AV30" s="108"/>
      <c r="AW30" s="108"/>
      <c r="AX30" s="108"/>
      <c r="AY30" s="108"/>
      <c r="AZ30" s="108"/>
      <c r="BA30" s="108"/>
      <c r="BB30" s="108"/>
      <c r="BC30" s="74"/>
      <c r="BF30" s="1182" t="s">
        <v>1216</v>
      </c>
      <c r="BG30" s="1182"/>
      <c r="BH30" s="1182"/>
      <c r="BI30" s="1185"/>
      <c r="BJ30" s="1185"/>
    </row>
    <row s="217" customFormat="1" customHeight="1" ht="16.672500000000003" hidden="1">
      <c r="E31" s="794">
        <v>17.1</v>
      </c>
      <c r="F31" s="920" cm="1" t="str">
        <f t="array" ref="F31:F31">OFFSET(G31,-1,-1)</f>
        <v>0</v>
      </c>
      <c r="G31" s="736" t="s">
        <v>1217</v>
      </c>
      <c r="T31" s="805" cm="1" t="str">
        <f t="array" ref="T31:T31">T30</f>
        <v>false</v>
      </c>
      <c r="AB31" s="285" t="s">
        <v>901</v>
      </c>
      <c r="AC31" s="501" t="s">
        <v>1218</v>
      </c>
      <c r="AD31" s="151" t="s">
        <v>799</v>
      </c>
      <c r="AE31" s="75"/>
      <c r="AF31" s="108"/>
      <c r="AG31" s="108"/>
      <c r="AH31" s="108"/>
      <c r="AI31" s="297"/>
      <c r="AJ31" s="1902"/>
      <c r="AK31" s="1902"/>
      <c r="AL31" s="108"/>
      <c r="AM31" s="108"/>
      <c r="AN31" s="108"/>
      <c r="AO31" s="108"/>
      <c r="AP31" s="108"/>
      <c r="AQ31" s="108"/>
      <c r="AR31" s="108"/>
      <c r="AS31" s="297"/>
      <c r="AT31" s="1902"/>
      <c r="AU31" s="1902"/>
      <c r="AV31" s="108"/>
      <c r="AW31" s="108"/>
      <c r="AX31" s="108"/>
      <c r="AY31" s="108"/>
      <c r="AZ31" s="108"/>
      <c r="BA31" s="108"/>
      <c r="BB31" s="108"/>
      <c r="BC31" s="74"/>
      <c r="BF31" s="1182" t="s">
        <v>1219</v>
      </c>
      <c r="BG31" s="1182"/>
      <c r="BH31" s="1182"/>
      <c r="BI31" s="1185"/>
      <c r="BJ31" s="1185"/>
    </row>
    <row customHeight="1" ht="16.672500000000003" hidden="1">
      <c r="E32" s="794">
        <v>17.1</v>
      </c>
      <c r="F32" s="920" cm="1" t="str">
        <f t="array" ref="F32:F32">OFFSET(G32,-1,-1)</f>
        <v>0</v>
      </c>
      <c r="G32" s="736" t="s">
        <v>1213</v>
      </c>
      <c r="H32" s="210" t="s">
        <v>1213</v>
      </c>
      <c r="T32" s="805" cm="1" t="str">
        <f t="array" ref="T32:T32">T31</f>
        <v>false</v>
      </c>
      <c r="AB32" s="285" t="s">
        <v>905</v>
      </c>
      <c r="AC32" s="501" t="s">
        <v>1220</v>
      </c>
      <c r="AD32" s="151" t="s">
        <v>799</v>
      </c>
      <c r="AE32" s="109"/>
      <c r="AF32" s="109"/>
      <c r="AG32" s="109"/>
      <c r="AH32" s="109"/>
      <c r="AI32" s="298"/>
      <c r="AJ32" s="1903"/>
      <c r="AK32" s="1903"/>
      <c r="AL32" s="109"/>
      <c r="AM32" s="109"/>
      <c r="AN32" s="109"/>
      <c r="AO32" s="109"/>
      <c r="AP32" s="109"/>
      <c r="AQ32" s="109"/>
      <c r="AR32" s="109"/>
      <c r="AS32" s="298"/>
      <c r="AT32" s="1903"/>
      <c r="AU32" s="1903"/>
      <c r="AV32" s="109"/>
      <c r="AW32" s="109"/>
      <c r="AX32" s="109"/>
      <c r="AY32" s="109"/>
      <c r="AZ32" s="109"/>
      <c r="BA32" s="109"/>
      <c r="BB32" s="109"/>
      <c r="BC32" s="74"/>
      <c r="BF32" s="1182" t="s">
        <v>562</v>
      </c>
    </row>
    <row s="217" customFormat="1" customHeight="1" ht="16.672500000000003" hidden="1">
      <c r="E33" s="794">
        <v>17.1</v>
      </c>
      <c r="F33" s="920" cm="1" t="str">
        <f t="array" ref="F33:F33">OFFSET(G33,-1,-1)</f>
        <v>0</v>
      </c>
      <c r="G33" s="736" t="s">
        <v>1213</v>
      </c>
      <c r="H33" s="210" t="s">
        <v>1221</v>
      </c>
      <c r="T33" s="805" cm="1" t="str">
        <f t="array" ref="T33:T33">T32</f>
        <v>false</v>
      </c>
      <c r="AB33" s="285" t="s">
        <v>1009</v>
      </c>
      <c r="AC33" s="501" t="s">
        <v>1222</v>
      </c>
      <c r="AD33" s="151" t="s">
        <v>799</v>
      </c>
      <c r="AE33" s="75"/>
      <c r="AF33" s="75"/>
      <c r="AG33" s="75"/>
      <c r="AH33" s="75"/>
      <c r="AI33" s="296"/>
      <c r="AJ33" s="1732"/>
      <c r="AK33" s="1732"/>
      <c r="AL33" s="75"/>
      <c r="AM33" s="75"/>
      <c r="AN33" s="75"/>
      <c r="AO33" s="75"/>
      <c r="AP33" s="75"/>
      <c r="AQ33" s="75"/>
      <c r="AR33" s="75"/>
      <c r="AS33" s="296"/>
      <c r="AT33" s="1732"/>
      <c r="AU33" s="1732"/>
      <c r="AV33" s="75"/>
      <c r="AW33" s="75"/>
      <c r="AX33" s="75"/>
      <c r="AY33" s="75"/>
      <c r="AZ33" s="75"/>
      <c r="BA33" s="75"/>
      <c r="BB33" s="75"/>
      <c r="BC33" s="74"/>
      <c r="BF33" s="1182" t="s">
        <v>558</v>
      </c>
      <c r="BG33" s="1182"/>
      <c r="BH33" s="1182"/>
      <c r="BI33" s="1185"/>
      <c r="BJ33" s="1185"/>
    </row>
    <row s="217" customFormat="1" customHeight="1" ht="16.672500000000003" hidden="1">
      <c r="E34" s="794">
        <v>17.1</v>
      </c>
      <c r="F34" s="920" cm="1" t="str">
        <f t="array" ref="F34:F34">OFFSET(G34,-1,-1)</f>
        <v>0</v>
      </c>
      <c r="G34" s="736" t="s">
        <v>1213</v>
      </c>
      <c r="H34" s="210" t="s">
        <v>1223</v>
      </c>
      <c r="T34" s="805" cm="1" t="str">
        <f t="array" ref="T34:T34">T33</f>
        <v>false</v>
      </c>
      <c r="AB34" s="285" t="s">
        <v>1012</v>
      </c>
      <c r="AC34" s="501" t="s">
        <v>1224</v>
      </c>
      <c r="AD34" s="151" t="s">
        <v>799</v>
      </c>
      <c r="AE34" s="75"/>
      <c r="AF34" s="75"/>
      <c r="AG34" s="75"/>
      <c r="AH34" s="75"/>
      <c r="AI34" s="296"/>
      <c r="AJ34" s="1732"/>
      <c r="AK34" s="1732"/>
      <c r="AL34" s="75"/>
      <c r="AM34" s="75"/>
      <c r="AN34" s="75"/>
      <c r="AO34" s="75"/>
      <c r="AP34" s="75"/>
      <c r="AQ34" s="75"/>
      <c r="AR34" s="75"/>
      <c r="AS34" s="296"/>
      <c r="AT34" s="1732"/>
      <c r="AU34" s="1732"/>
      <c r="AV34" s="75"/>
      <c r="AW34" s="75"/>
      <c r="AX34" s="75"/>
      <c r="AY34" s="75"/>
      <c r="AZ34" s="75"/>
      <c r="BA34" s="75"/>
      <c r="BB34" s="75"/>
      <c r="BC34" s="74"/>
      <c r="BF34" s="1182" t="s">
        <v>1225</v>
      </c>
      <c r="BG34" s="1182"/>
      <c r="BH34" s="1182"/>
      <c r="BI34" s="1185"/>
      <c r="BJ34" s="1185"/>
    </row>
    <row s="217" customFormat="1" customHeight="1" ht="16.672500000000003" hidden="1">
      <c r="E35" s="794">
        <v>17.1</v>
      </c>
      <c r="F35" s="920" cm="1" t="str">
        <f t="array" ref="F35:F35">OFFSET(G35,-1,-1)</f>
        <v>0</v>
      </c>
      <c r="G35" s="736" t="s">
        <v>1226</v>
      </c>
      <c r="T35" s="805" cm="1" t="str">
        <f t="array" ref="T35:T35">T34</f>
        <v>false</v>
      </c>
      <c r="AB35" s="285" t="s">
        <v>1015</v>
      </c>
      <c r="AC35" s="501" t="s">
        <v>1227</v>
      </c>
      <c r="AD35" s="151" t="s">
        <v>799</v>
      </c>
      <c r="AE35" s="75"/>
      <c r="AF35" s="75"/>
      <c r="AG35" s="75"/>
      <c r="AH35" s="75"/>
      <c r="AI35" s="296"/>
      <c r="AJ35" s="1732"/>
      <c r="AK35" s="1732"/>
      <c r="AL35" s="75"/>
      <c r="AM35" s="75"/>
      <c r="AN35" s="75"/>
      <c r="AO35" s="75"/>
      <c r="AP35" s="75"/>
      <c r="AQ35" s="75"/>
      <c r="AR35" s="75"/>
      <c r="AS35" s="296"/>
      <c r="AT35" s="1732"/>
      <c r="AU35" s="1732"/>
      <c r="AV35" s="75"/>
      <c r="AW35" s="75"/>
      <c r="AX35" s="75"/>
      <c r="AY35" s="75"/>
      <c r="AZ35" s="75"/>
      <c r="BA35" s="75"/>
      <c r="BB35" s="75"/>
      <c r="BC35" s="74"/>
      <c r="BF35" s="1182" t="s">
        <v>566</v>
      </c>
      <c r="BG35" s="1182"/>
      <c r="BH35" s="1182"/>
      <c r="BI35" s="1185"/>
      <c r="BJ35" s="1185"/>
    </row>
    <row s="217" customFormat="1" customHeight="1" ht="16.672500000000003" hidden="1">
      <c r="E36" s="794">
        <v>17.1</v>
      </c>
      <c r="F36" s="920" cm="1" t="str">
        <f t="array" ref="F36:F36">OFFSET(G36,-1,-1)</f>
        <v>0</v>
      </c>
      <c r="G36" s="736" t="s">
        <v>1213</v>
      </c>
      <c r="H36" s="210" t="s">
        <v>1228</v>
      </c>
      <c r="T36" s="805" cm="1" t="str">
        <f t="array" ref="T36:T36">T35</f>
        <v>false</v>
      </c>
      <c r="AB36" s="285" t="s">
        <v>1018</v>
      </c>
      <c r="AC36" s="501" t="s">
        <v>1229</v>
      </c>
      <c r="AD36" s="151" t="s">
        <v>799</v>
      </c>
      <c r="AE36" s="75"/>
      <c r="AF36" s="75"/>
      <c r="AG36" s="75"/>
      <c r="AH36" s="75"/>
      <c r="AI36" s="296"/>
      <c r="AJ36" s="1732"/>
      <c r="AK36" s="1732"/>
      <c r="AL36" s="75"/>
      <c r="AM36" s="75"/>
      <c r="AN36" s="75"/>
      <c r="AO36" s="75"/>
      <c r="AP36" s="75"/>
      <c r="AQ36" s="75"/>
      <c r="AR36" s="75"/>
      <c r="AS36" s="296"/>
      <c r="AT36" s="1732"/>
      <c r="AU36" s="1732"/>
      <c r="AV36" s="75"/>
      <c r="AW36" s="75"/>
      <c r="AX36" s="75"/>
      <c r="AY36" s="75"/>
      <c r="AZ36" s="75"/>
      <c r="BA36" s="75"/>
      <c r="BB36" s="75"/>
      <c r="BC36" s="74"/>
      <c r="BF36" s="1182" t="s">
        <v>1230</v>
      </c>
      <c r="BG36" s="1182"/>
      <c r="BH36" s="1182"/>
      <c r="BI36" s="1185"/>
      <c r="BJ36" s="1185"/>
    </row>
    <row s="217" customFormat="1" customHeight="1" ht="16.672500000000003" hidden="1">
      <c r="E37" s="794">
        <v>17.1</v>
      </c>
      <c r="F37" s="920" cm="1" t="str">
        <f t="array" ref="F37:F37">OFFSET(G37,-1,-1)</f>
        <v>0</v>
      </c>
      <c r="G37" s="736" t="s">
        <v>1213</v>
      </c>
      <c r="H37" s="210" t="s">
        <v>1213</v>
      </c>
      <c r="T37" s="805" cm="1" t="str">
        <f t="array" ref="T37:T37">T36</f>
        <v>false</v>
      </c>
      <c r="AB37" s="285" t="s">
        <v>1231</v>
      </c>
      <c r="AC37" s="501" t="s">
        <v>1232</v>
      </c>
      <c r="AD37" s="151" t="s">
        <v>799</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1161</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235</v>
      </c>
      <c r="Y39" s="172">
        <v>0</v>
      </c>
      <c r="AA39" s="915" t="s">
        <v>219</v>
      </c>
      <c r="AB39" s="151" t="str">
        <f>"1.9."&amp;Y39</f>
        <v>1.9.0</v>
      </c>
      <c r="AC39" s="110"/>
      <c r="AD39" s="151" t="s">
        <v>799</v>
      </c>
      <c r="AE39" s="75"/>
      <c r="AF39" s="108"/>
      <c r="AG39" s="108"/>
      <c r="AH39" s="108"/>
      <c r="AI39" s="297"/>
      <c r="AJ39" s="1902"/>
      <c r="AK39" s="1902"/>
      <c r="AL39" s="108"/>
      <c r="AM39" s="108"/>
      <c r="AN39" s="108"/>
      <c r="AO39" s="108"/>
      <c r="AP39" s="108"/>
      <c r="AQ39" s="108"/>
      <c r="AR39" s="108"/>
      <c r="AS39" s="297"/>
      <c r="AT39" s="1902"/>
      <c r="AU39" s="1902"/>
      <c r="AV39" s="108"/>
      <c r="AW39" s="108"/>
      <c r="AX39" s="108"/>
      <c r="AY39" s="108"/>
      <c r="AZ39" s="108"/>
      <c r="BA39" s="108"/>
      <c r="BB39" s="108"/>
      <c r="BC39" s="74"/>
      <c r="BF39" s="1182" t="s">
        <v>1233</v>
      </c>
      <c r="BG39" s="1182" t="s">
        <v>1234</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915</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1234</v>
      </c>
      <c r="BJ40" s="1185"/>
    </row>
    <row s="1905"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337</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906"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1208</v>
      </c>
      <c r="AD42" s="277" t="s">
        <v>799</v>
      </c>
      <c r="AE42" s="295">
        <f>SUM(AE43:AE51)</f>
        <v>0</v>
      </c>
      <c r="AF42" s="295">
        <f>SUM(AF43:AF51)</f>
        <v>1274.28</v>
      </c>
      <c r="AG42" s="295">
        <f>SUM(AG43:AG51)</f>
        <v>0</v>
      </c>
      <c r="AH42" s="295">
        <f>SUM(AH43:AH51)</f>
        <v>0</v>
      </c>
      <c r="AI42" s="295">
        <f>SUM(AI43:AI51)</f>
        <v>1090.31</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-7496</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92"/>
      <c r="BD42" s="217"/>
      <c r="BE42" s="217"/>
      <c r="BF42" s="1182" t="s">
        <v>1209</v>
      </c>
      <c r="BG42" s="1182"/>
      <c r="BH42" s="1182"/>
      <c r="BI42" s="1185"/>
      <c r="BJ42" s="1185"/>
    </row>
    <row s="1907" customFormat="1" customHeight="1" ht="58.5">
      <c r="A43" s="217"/>
      <c r="B43" s="217"/>
      <c r="C43" s="217"/>
      <c r="D43" s="217"/>
      <c r="E43" s="794">
        <v>60</v>
      </c>
      <c r="F43" s="920" cm="1" t="str">
        <f t="array" ref="F43:F43">OFFSET(G43,-1,-1)</f>
        <v>1</v>
      </c>
      <c r="G43" s="736" t="s">
        <v>1210</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436</v>
      </c>
      <c r="AC43" s="501" t="s">
        <v>1211</v>
      </c>
      <c r="AD43" s="151" t="s">
        <v>799</v>
      </c>
      <c r="AE43" s="1908"/>
      <c r="AF43" s="1898"/>
      <c r="AG43" s="1898"/>
      <c r="AH43" s="1898"/>
      <c r="AI43" s="297"/>
      <c r="AJ43" s="1902"/>
      <c r="AK43" s="1902"/>
      <c r="AL43" s="1898"/>
      <c r="AM43" s="1898"/>
      <c r="AN43" s="1898"/>
      <c r="AO43" s="1898"/>
      <c r="AP43" s="1898"/>
      <c r="AQ43" s="1898"/>
      <c r="AR43" s="1898"/>
      <c r="AS43" s="297"/>
      <c r="AT43" s="1902"/>
      <c r="AU43" s="1902"/>
      <c r="AV43" s="1898"/>
      <c r="AW43" s="1898"/>
      <c r="AX43" s="1898"/>
      <c r="AY43" s="1898"/>
      <c r="AZ43" s="1898"/>
      <c r="BA43" s="1898"/>
      <c r="BB43" s="1898"/>
      <c r="BC43" s="1792"/>
      <c r="BD43" s="217"/>
      <c r="BE43" s="217"/>
      <c r="BF43" s="1182" t="s">
        <v>1212</v>
      </c>
      <c r="BG43" s="1182"/>
      <c r="BH43" s="1182"/>
      <c r="BI43" s="1185"/>
      <c r="BJ43" s="1185"/>
    </row>
    <row s="1910" customFormat="1" customHeight="1" ht="16.5">
      <c r="A44" s="217"/>
      <c r="B44" s="217"/>
      <c r="C44" s="217"/>
      <c r="D44" s="217"/>
      <c r="E44" s="794">
        <v>17.1</v>
      </c>
      <c r="F44" s="920" cm="1" t="str">
        <f t="array" ref="F44:F44">OFFSET(G44,-1,-1)</f>
        <v>1</v>
      </c>
      <c r="G44" s="736" t="s">
        <v>1213</v>
      </c>
      <c r="H44" s="210" t="s">
        <v>1214</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899</v>
      </c>
      <c r="AC44" s="501" t="s">
        <v>1215</v>
      </c>
      <c r="AD44" s="151" t="s">
        <v>799</v>
      </c>
      <c r="AE44" s="1908"/>
      <c r="AF44" s="1898"/>
      <c r="AG44" s="1898"/>
      <c r="AH44" s="1898"/>
      <c r="AI44" s="297"/>
      <c r="AJ44" s="1902"/>
      <c r="AK44" s="1902"/>
      <c r="AL44" s="1898"/>
      <c r="AM44" s="1898"/>
      <c r="AN44" s="1898"/>
      <c r="AO44" s="1898"/>
      <c r="AP44" s="1898"/>
      <c r="AQ44" s="1898"/>
      <c r="AR44" s="1898"/>
      <c r="AS44" s="297"/>
      <c r="AT44" s="1902"/>
      <c r="AU44" s="1902"/>
      <c r="AV44" s="1898"/>
      <c r="AW44" s="1898"/>
      <c r="AX44" s="1898"/>
      <c r="AY44" s="1898"/>
      <c r="AZ44" s="1898"/>
      <c r="BA44" s="1898"/>
      <c r="BB44" s="1898"/>
      <c r="BC44" s="1792"/>
      <c r="BD44" s="217"/>
      <c r="BE44" s="217"/>
      <c r="BF44" s="1182" t="s">
        <v>1216</v>
      </c>
      <c r="BG44" s="1182"/>
      <c r="BH44" s="1182"/>
      <c r="BI44" s="1185"/>
      <c r="BJ44" s="1185"/>
    </row>
    <row s="1911" customFormat="1" customHeight="1" ht="16.5">
      <c r="A45" s="217"/>
      <c r="B45" s="217"/>
      <c r="C45" s="217"/>
      <c r="D45" s="217"/>
      <c r="E45" s="794">
        <v>17.1</v>
      </c>
      <c r="F45" s="920" cm="1" t="str">
        <f t="array" ref="F45:F45">OFFSET(G45,-1,-1)</f>
        <v>1</v>
      </c>
      <c r="G45" s="736" t="s">
        <v>1217</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901</v>
      </c>
      <c r="AC45" s="501" t="s">
        <v>1218</v>
      </c>
      <c r="AD45" s="151" t="s">
        <v>799</v>
      </c>
      <c r="AE45" s="1908"/>
      <c r="AF45" s="1898"/>
      <c r="AG45" s="1898"/>
      <c r="AH45" s="1898"/>
      <c r="AI45" s="297"/>
      <c r="AJ45" s="1902"/>
      <c r="AK45" s="1902"/>
      <c r="AL45" s="1898"/>
      <c r="AM45" s="1898"/>
      <c r="AN45" s="1898"/>
      <c r="AO45" s="1898"/>
      <c r="AP45" s="1898"/>
      <c r="AQ45" s="1898"/>
      <c r="AR45" s="1898"/>
      <c r="AS45" s="297"/>
      <c r="AT45" s="1902"/>
      <c r="AU45" s="1902"/>
      <c r="AV45" s="1898"/>
      <c r="AW45" s="1898"/>
      <c r="AX45" s="1898"/>
      <c r="AY45" s="1898"/>
      <c r="AZ45" s="1898"/>
      <c r="BA45" s="1898"/>
      <c r="BB45" s="1898"/>
      <c r="BC45" s="1792"/>
      <c r="BD45" s="217"/>
      <c r="BE45" s="217"/>
      <c r="BF45" s="1182" t="s">
        <v>1219</v>
      </c>
      <c r="BG45" s="1182"/>
      <c r="BH45" s="1182"/>
      <c r="BI45" s="1185"/>
      <c r="BJ45" s="1185"/>
    </row>
    <row s="1642" customFormat="1" customHeight="1" ht="16.5">
      <c r="A46" s="1437"/>
      <c r="B46" s="925"/>
      <c r="C46" s="1437"/>
      <c r="D46" s="1437"/>
      <c r="E46" s="794">
        <v>17.1</v>
      </c>
      <c r="F46" s="920" cm="1" t="str">
        <f t="array" ref="F46:F46">OFFSET(G46,-1,-1)</f>
        <v>1</v>
      </c>
      <c r="G46" s="736" t="s">
        <v>1213</v>
      </c>
      <c r="H46" s="210" t="s">
        <v>1213</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905</v>
      </c>
      <c r="AC46" s="501" t="s">
        <v>1220</v>
      </c>
      <c r="AD46" s="151" t="s">
        <v>799</v>
      </c>
      <c r="AE46" s="1912"/>
      <c r="AF46" s="1912"/>
      <c r="AG46" s="1912"/>
      <c r="AH46" s="1912"/>
      <c r="AI46" s="298"/>
      <c r="AJ46" s="1903"/>
      <c r="AK46" s="1903"/>
      <c r="AL46" s="1912"/>
      <c r="AM46" s="1912"/>
      <c r="AN46" s="1912"/>
      <c r="AO46" s="1912"/>
      <c r="AP46" s="1912"/>
      <c r="AQ46" s="1912"/>
      <c r="AR46" s="1912"/>
      <c r="AS46" s="298"/>
      <c r="AT46" s="1903"/>
      <c r="AU46" s="1903"/>
      <c r="AV46" s="1912"/>
      <c r="AW46" s="1912"/>
      <c r="AX46" s="1912"/>
      <c r="AY46" s="1912"/>
      <c r="AZ46" s="1912"/>
      <c r="BA46" s="1912"/>
      <c r="BB46" s="1912"/>
      <c r="BC46" s="1792"/>
      <c r="BD46" s="217"/>
      <c r="BE46" s="217"/>
      <c r="BF46" s="1182" t="s">
        <v>562</v>
      </c>
      <c r="BG46" s="1217"/>
      <c r="BH46" s="1217"/>
      <c r="BI46" s="1228"/>
      <c r="BJ46" s="1228"/>
    </row>
    <row s="1914" customFormat="1" customHeight="1" ht="16.5">
      <c r="A47" s="217"/>
      <c r="B47" s="217"/>
      <c r="C47" s="217"/>
      <c r="D47" s="217"/>
      <c r="E47" s="794">
        <v>17.1</v>
      </c>
      <c r="F47" s="920" cm="1" t="str">
        <f t="array" ref="F47:F47">OFFSET(G47,-1,-1)</f>
        <v>1</v>
      </c>
      <c r="G47" s="736" t="s">
        <v>1213</v>
      </c>
      <c r="H47" s="210" t="s">
        <v>1221</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1009</v>
      </c>
      <c r="AC47" s="501" t="s">
        <v>1222</v>
      </c>
      <c r="AD47" s="151" t="s">
        <v>799</v>
      </c>
      <c r="AE47" s="1908"/>
      <c r="AF47" s="1908">
        <v>1274.28</v>
      </c>
      <c r="AG47" s="1908"/>
      <c r="AH47" s="1908"/>
      <c r="AI47" s="296">
        <v>1090.31</v>
      </c>
      <c r="AJ47" s="1732"/>
      <c r="AK47" s="1732"/>
      <c r="AL47" s="1908"/>
      <c r="AM47" s="1908"/>
      <c r="AN47" s="1908"/>
      <c r="AO47" s="1908"/>
      <c r="AP47" s="1908"/>
      <c r="AQ47" s="1908"/>
      <c r="AR47" s="1908"/>
      <c r="AS47" s="296"/>
      <c r="AT47" s="1732"/>
      <c r="AU47" s="1732"/>
      <c r="AV47" s="1908"/>
      <c r="AW47" s="1908"/>
      <c r="AX47" s="1908"/>
      <c r="AY47" s="1908"/>
      <c r="AZ47" s="1908"/>
      <c r="BA47" s="1908"/>
      <c r="BB47" s="1908"/>
      <c r="BC47" s="1792"/>
      <c r="BD47" s="217"/>
      <c r="BE47" s="217"/>
      <c r="BF47" s="1182" t="s">
        <v>558</v>
      </c>
      <c r="BG47" s="1182"/>
      <c r="BH47" s="1182"/>
      <c r="BI47" s="1185"/>
      <c r="BJ47" s="1185"/>
    </row>
    <row s="1916" customFormat="1" customHeight="1" ht="16.5">
      <c r="A48" s="217"/>
      <c r="B48" s="217"/>
      <c r="C48" s="217"/>
      <c r="D48" s="217"/>
      <c r="E48" s="794">
        <v>17.1</v>
      </c>
      <c r="F48" s="920" cm="1" t="str">
        <f t="array" ref="F48:F48">OFFSET(G48,-1,-1)</f>
        <v>1</v>
      </c>
      <c r="G48" s="736" t="s">
        <v>1213</v>
      </c>
      <c r="H48" s="210" t="s">
        <v>1223</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1012</v>
      </c>
      <c r="AC48" s="501" t="s">
        <v>1224</v>
      </c>
      <c r="AD48" s="151" t="s">
        <v>799</v>
      </c>
      <c r="AE48" s="1908"/>
      <c r="AF48" s="1908"/>
      <c r="AG48" s="1908"/>
      <c r="AH48" s="1908"/>
      <c r="AI48" s="296"/>
      <c r="AJ48" s="1732"/>
      <c r="AK48" s="1732"/>
      <c r="AL48" s="1908"/>
      <c r="AM48" s="1908"/>
      <c r="AN48" s="1908"/>
      <c r="AO48" s="1908"/>
      <c r="AP48" s="1908"/>
      <c r="AQ48" s="1908"/>
      <c r="AR48" s="1908"/>
      <c r="AS48" s="296"/>
      <c r="AT48" s="1732"/>
      <c r="AU48" s="1732"/>
      <c r="AV48" s="1908"/>
      <c r="AW48" s="1908"/>
      <c r="AX48" s="1908"/>
      <c r="AY48" s="1908"/>
      <c r="AZ48" s="1908"/>
      <c r="BA48" s="1908"/>
      <c r="BB48" s="1908"/>
      <c r="BC48" s="1792"/>
      <c r="BD48" s="217"/>
      <c r="BE48" s="217"/>
      <c r="BF48" s="1182" t="s">
        <v>1225</v>
      </c>
      <c r="BG48" s="1182"/>
      <c r="BH48" s="1182"/>
      <c r="BI48" s="1185"/>
      <c r="BJ48" s="1185"/>
    </row>
    <row s="1917" customFormat="1" customHeight="1" ht="16.5">
      <c r="A49" s="217"/>
      <c r="B49" s="217"/>
      <c r="C49" s="217"/>
      <c r="D49" s="217"/>
      <c r="E49" s="794">
        <v>17.1</v>
      </c>
      <c r="F49" s="920" cm="1" t="str">
        <f t="array" ref="F49:F49">OFFSET(G49,-1,-1)</f>
        <v>1</v>
      </c>
      <c r="G49" s="736" t="s">
        <v>1226</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1015</v>
      </c>
      <c r="AC49" s="501" t="s">
        <v>1227</v>
      </c>
      <c r="AD49" s="151" t="s">
        <v>799</v>
      </c>
      <c r="AE49" s="1908"/>
      <c r="AF49" s="1908"/>
      <c r="AG49" s="1908"/>
      <c r="AH49" s="1908"/>
      <c r="AI49" s="296"/>
      <c r="AJ49" s="1732"/>
      <c r="AK49" s="1732"/>
      <c r="AL49" s="1908"/>
      <c r="AM49" s="1908"/>
      <c r="AN49" s="1908"/>
      <c r="AO49" s="1908"/>
      <c r="AP49" s="1908"/>
      <c r="AQ49" s="1908"/>
      <c r="AR49" s="1908"/>
      <c r="AS49" s="296"/>
      <c r="AT49" s="1732"/>
      <c r="AU49" s="1732"/>
      <c r="AV49" s="1908"/>
      <c r="AW49" s="1908"/>
      <c r="AX49" s="1908"/>
      <c r="AY49" s="1908"/>
      <c r="AZ49" s="1908"/>
      <c r="BA49" s="1908"/>
      <c r="BB49" s="1908"/>
      <c r="BC49" s="1792"/>
      <c r="BD49" s="217"/>
      <c r="BE49" s="217"/>
      <c r="BF49" s="1182" t="s">
        <v>566</v>
      </c>
      <c r="BG49" s="1182"/>
      <c r="BH49" s="1182"/>
      <c r="BI49" s="1185"/>
      <c r="BJ49" s="1185"/>
    </row>
    <row s="1918" customFormat="1" customHeight="1" ht="16.5">
      <c r="A50" s="217"/>
      <c r="B50" s="217"/>
      <c r="C50" s="217"/>
      <c r="D50" s="217"/>
      <c r="E50" s="794">
        <v>17.1</v>
      </c>
      <c r="F50" s="920" cm="1" t="str">
        <f t="array" ref="F50:F50">OFFSET(G50,-1,-1)</f>
        <v>1</v>
      </c>
      <c r="G50" s="736" t="s">
        <v>1213</v>
      </c>
      <c r="H50" s="210" t="s">
        <v>1228</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1018</v>
      </c>
      <c r="AC50" s="501" t="s">
        <v>1229</v>
      </c>
      <c r="AD50" s="151" t="s">
        <v>799</v>
      </c>
      <c r="AE50" s="1908"/>
      <c r="AF50" s="1908"/>
      <c r="AG50" s="1908"/>
      <c r="AH50" s="1908"/>
      <c r="AI50" s="296"/>
      <c r="AJ50" s="1732"/>
      <c r="AK50" s="1732"/>
      <c r="AL50" s="1908"/>
      <c r="AM50" s="1908"/>
      <c r="AN50" s="1908"/>
      <c r="AO50" s="1908"/>
      <c r="AP50" s="1908"/>
      <c r="AQ50" s="1908"/>
      <c r="AR50" s="1908"/>
      <c r="AS50" s="296"/>
      <c r="AT50" s="1732"/>
      <c r="AU50" s="1732"/>
      <c r="AV50" s="1908"/>
      <c r="AW50" s="1908"/>
      <c r="AX50" s="1908"/>
      <c r="AY50" s="1908"/>
      <c r="AZ50" s="1908"/>
      <c r="BA50" s="1908"/>
      <c r="BB50" s="1908"/>
      <c r="BC50" s="1792"/>
      <c r="BD50" s="217"/>
      <c r="BE50" s="217"/>
      <c r="BF50" s="1182" t="s">
        <v>1230</v>
      </c>
      <c r="BG50" s="1182"/>
      <c r="BH50" s="1182"/>
      <c r="BI50" s="1185"/>
      <c r="BJ50" s="1185"/>
    </row>
    <row s="1919" customFormat="1" customHeight="1" ht="16.5">
      <c r="A51" s="217"/>
      <c r="B51" s="217"/>
      <c r="C51" s="217"/>
      <c r="D51" s="217"/>
      <c r="E51" s="794">
        <v>17.1</v>
      </c>
      <c r="F51" s="920" cm="1" t="str">
        <f t="array" ref="F51:F51">OFFSET(G51,-1,-1)</f>
        <v>1</v>
      </c>
      <c r="G51" s="736" t="s">
        <v>1213</v>
      </c>
      <c r="H51" s="210" t="s">
        <v>1213</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1231</v>
      </c>
      <c r="AC51" s="501" t="s">
        <v>1232</v>
      </c>
      <c r="AD51" s="151" t="s">
        <v>799</v>
      </c>
      <c r="AE51" s="364">
        <f>SUM(AE52:AE56)</f>
        <v>0</v>
      </c>
      <c r="AF51" s="364">
        <f>SUM(AF52:AF56)</f>
        <v>0</v>
      </c>
      <c r="AG51" s="364">
        <f>SUM(AG52:AG56)</f>
        <v>0</v>
      </c>
      <c r="AH51" s="364">
        <f>SUM(AH52:AH56)</f>
        <v>0</v>
      </c>
      <c r="AI51" s="364">
        <f>SUM(AI52:AI56)</f>
        <v>0</v>
      </c>
      <c r="AJ51" s="364">
        <f>SUM(AJ52:AJ56)</f>
        <v>0</v>
      </c>
      <c r="AK51" s="364">
        <f>SUM(AK52:AK56)</f>
        <v>0</v>
      </c>
      <c r="AL51" s="364">
        <f>SUM(AL52:AL56)</f>
        <v>0</v>
      </c>
      <c r="AM51" s="364">
        <f>SUM(AM52:AM56)</f>
        <v>0</v>
      </c>
      <c r="AN51" s="364">
        <f>SUM(AN52:AN56)</f>
        <v>0</v>
      </c>
      <c r="AO51" s="364">
        <f>SUM(AO52:AO56)</f>
        <v>0</v>
      </c>
      <c r="AP51" s="364">
        <f>SUM(AP52:AP56)</f>
        <v>0</v>
      </c>
      <c r="AQ51" s="364">
        <f>SUM(AQ52:AQ56)</f>
        <v>0</v>
      </c>
      <c r="AR51" s="364">
        <f>SUM(AR52:AR56)</f>
        <v>0</v>
      </c>
      <c r="AS51" s="364">
        <f>SUM(AS52:AS56)</f>
        <v>-7496</v>
      </c>
      <c r="AT51" s="364">
        <f>SUM(AT52:AT56)</f>
        <v>0</v>
      </c>
      <c r="AU51" s="364">
        <f>SUM(AU52:AU56)</f>
        <v>0</v>
      </c>
      <c r="AV51" s="364">
        <f>SUM(AV52:AV56)</f>
        <v>0</v>
      </c>
      <c r="AW51" s="364">
        <f>SUM(AW52:AW56)</f>
        <v>0</v>
      </c>
      <c r="AX51" s="364">
        <f>SUM(AX52:AX56)</f>
        <v>0</v>
      </c>
      <c r="AY51" s="364">
        <f>SUM(AY52:AY56)</f>
        <v>0</v>
      </c>
      <c r="AZ51" s="364">
        <f>SUM(AZ52:AZ56)</f>
        <v>0</v>
      </c>
      <c r="BA51" s="364">
        <f>SUM(BA52:BA56)</f>
        <v>0</v>
      </c>
      <c r="BB51" s="364">
        <f>SUM(BB52:BB56)</f>
        <v>0</v>
      </c>
      <c r="BC51" s="1792"/>
      <c r="BD51" s="217"/>
      <c r="BE51" s="217"/>
      <c r="BF51" s="1182" t="s">
        <v>1161</v>
      </c>
      <c r="BG51" s="1182"/>
      <c r="BH51" s="1182"/>
      <c r="BI51" s="1185"/>
      <c r="BJ51" s="1185"/>
    </row>
    <row s="1642"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20" customFormat="1" customHeight="1" ht="16.5" hidden="1">
      <c r="E53" s="794">
        <v>17.1</v>
      </c>
      <c r="F53" s="920" cm="1" t="str">
        <f t="array" ref="F53:F53">OFFSET(G53,-1,-1)</f>
        <v>1</v>
      </c>
      <c r="H53" s="210" cm="1" t="str">
        <f t="array" ref="H53:H53">AC53</f>
        <v>0</v>
      </c>
      <c r="T53" s="805">
        <f>AND(OFFSET(U53,1,-1),Y53&gt;0)</f>
        <v>0</v>
      </c>
      <c r="W53" s="172" t="s">
        <v>235</v>
      </c>
      <c r="Y53" s="172">
        <v>0</v>
      </c>
      <c r="AA53" s="915" t="s">
        <v>219</v>
      </c>
      <c r="AB53" s="151" t="str">
        <f>"1.9."&amp;Y53</f>
        <v>1.9.0</v>
      </c>
      <c r="AC53" s="110"/>
      <c r="AD53" s="151" t="s">
        <v>799</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1233</v>
      </c>
      <c r="BG53" s="1182" t="s">
        <v>1234</v>
      </c>
      <c r="BH53" s="1230" cm="1" t="str">
        <f t="array" ref="BH53:BH53">AC53</f>
        <v>0</v>
      </c>
      <c r="BI53" s="1185"/>
      <c r="BJ53" s="1185" t="b">
        <v>1</v>
      </c>
    </row>
    <row s="1921" customFormat="1" customHeight="1" ht="16.5">
      <c r="A54" s="1922"/>
      <c r="B54" s="1922"/>
      <c r="C54" s="1922"/>
      <c r="D54" s="1922"/>
      <c r="E54" s="794">
        <v>17.1</v>
      </c>
      <c r="F54" s="920" cm="1" t="str">
        <f t="array" ref="F54:F54">OFFSET(G54,-1,-1)</f>
        <v>1</v>
      </c>
      <c r="G54" s="1922"/>
      <c r="H54" s="210" cm="1" t="str">
        <f t="array" ref="H54:H54">AC54</f>
        <v>прочие расходы (сумма)</v>
      </c>
      <c r="I54" s="1922"/>
      <c r="J54" s="1922"/>
      <c r="K54" s="1922"/>
      <c r="L54" s="1922"/>
      <c r="M54" s="1922"/>
      <c r="N54" s="1922"/>
      <c r="O54" s="1922"/>
      <c r="P54" s="1922"/>
      <c r="Q54" s="1922"/>
      <c r="R54" s="1922"/>
      <c r="S54" s="1922"/>
      <c r="T54" s="805">
        <f>AND(OFFSET(U54,1,-1),Y54&gt;0)</f>
        <v>1</v>
      </c>
      <c r="U54" s="1922"/>
      <c r="V54" s="1922"/>
      <c r="W54" s="172"/>
      <c r="X54" s="1922"/>
      <c r="Y54" s="172" t="s">
        <v>337</v>
      </c>
      <c r="Z54" s="1922"/>
      <c r="AA54" s="915" t="s">
        <v>219</v>
      </c>
      <c r="AB54" s="151" t="str">
        <f>"1.9."&amp;Y54</f>
        <v>1.9.1</v>
      </c>
      <c r="AC54" s="1923" t="s">
        <v>1235</v>
      </c>
      <c r="AD54" s="151" t="s">
        <v>799</v>
      </c>
      <c r="AE54" s="1908"/>
      <c r="AF54" s="1898"/>
      <c r="AG54" s="1898"/>
      <c r="AH54" s="1898"/>
      <c r="AI54" s="297"/>
      <c r="AJ54" s="1898"/>
      <c r="AK54" s="1898"/>
      <c r="AL54" s="1898"/>
      <c r="AM54" s="1898"/>
      <c r="AN54" s="1898"/>
      <c r="AO54" s="1898"/>
      <c r="AP54" s="1898"/>
      <c r="AQ54" s="1898"/>
      <c r="AR54" s="1898"/>
      <c r="AS54" s="297">
        <v>-7496</v>
      </c>
      <c r="AT54" s="1898"/>
      <c r="AU54" s="1898"/>
      <c r="AV54" s="1898"/>
      <c r="AW54" s="1898"/>
      <c r="AX54" s="1898"/>
      <c r="AY54" s="1898"/>
      <c r="AZ54" s="1898"/>
      <c r="BA54" s="1898"/>
      <c r="BB54" s="1898"/>
      <c r="BC54" s="1792"/>
      <c r="BD54" s="1922"/>
      <c r="BE54" s="1922"/>
      <c r="BF54" s="1182" t="s">
        <v>1233</v>
      </c>
      <c r="BG54" s="1182" t="s">
        <v>1234</v>
      </c>
      <c r="BH54" s="1230" cm="1" t="str">
        <f t="array" ref="BH54:BH54">AC54</f>
        <v>прочие расходы (сумма)</v>
      </c>
      <c r="BI54" s="1185"/>
      <c r="BJ54" s="1185" t="b">
        <v>1</v>
      </c>
    </row>
    <row s="1922" customFormat="1" customHeight="1" ht="16.5">
      <c r="A55" s="1922"/>
      <c r="B55" s="1922"/>
      <c r="C55" s="1922"/>
      <c r="D55" s="1922"/>
      <c r="E55" s="794">
        <v>17.1</v>
      </c>
      <c r="F55" s="920" cm="1" t="str">
        <f t="array" ref="F55:F55">OFFSET(G55,-1,-1)</f>
        <v>1</v>
      </c>
      <c r="G55" s="1922"/>
      <c r="H55" s="210" cm="1" t="str">
        <f t="array" ref="H55:H55">AC55</f>
        <v>Неучтённые расходы</v>
      </c>
      <c r="I55" s="1922"/>
      <c r="J55" s="1922"/>
      <c r="K55" s="1922"/>
      <c r="L55" s="1922"/>
      <c r="M55" s="1922"/>
      <c r="N55" s="1922"/>
      <c r="O55" s="1922"/>
      <c r="P55" s="1922"/>
      <c r="Q55" s="1922"/>
      <c r="R55" s="1922"/>
      <c r="S55" s="1922"/>
      <c r="T55" s="805">
        <f>AND(OFFSET(U55,1,-1),Y55&gt;0)</f>
        <v>1</v>
      </c>
      <c r="U55" s="1922"/>
      <c r="V55" s="1922"/>
      <c r="W55" s="172"/>
      <c r="X55" s="1922"/>
      <c r="Y55" s="172" t="s">
        <v>440</v>
      </c>
      <c r="Z55" s="1922"/>
      <c r="AA55" s="915" t="s">
        <v>219</v>
      </c>
      <c r="AB55" s="151" t="str">
        <f>"1.9."&amp;Y55</f>
        <v>1.9.2</v>
      </c>
      <c r="AC55" s="1923" t="s">
        <v>1236</v>
      </c>
      <c r="AD55" s="151" t="s">
        <v>799</v>
      </c>
      <c r="AE55" s="1908"/>
      <c r="AF55" s="1898"/>
      <c r="AG55" s="1898"/>
      <c r="AH55" s="1898"/>
      <c r="AI55" s="297"/>
      <c r="AJ55" s="1898"/>
      <c r="AK55" s="1898"/>
      <c r="AL55" s="1898"/>
      <c r="AM55" s="1898"/>
      <c r="AN55" s="1898"/>
      <c r="AO55" s="1898"/>
      <c r="AP55" s="1898"/>
      <c r="AQ55" s="1898"/>
      <c r="AR55" s="1898"/>
      <c r="AS55" s="297"/>
      <c r="AT55" s="1898"/>
      <c r="AU55" s="1898"/>
      <c r="AV55" s="1898"/>
      <c r="AW55" s="1898"/>
      <c r="AX55" s="1898"/>
      <c r="AY55" s="1898"/>
      <c r="AZ55" s="1898"/>
      <c r="BA55" s="1898"/>
      <c r="BB55" s="1898"/>
      <c r="BC55" s="1792"/>
      <c r="BD55" s="1922"/>
      <c r="BE55" s="1922"/>
      <c r="BF55" s="1182" t="s">
        <v>1233</v>
      </c>
      <c r="BG55" s="1182" t="s">
        <v>1234</v>
      </c>
      <c r="BH55" s="1230" cm="1" t="str">
        <f t="array" ref="BH55:BH55">AC55</f>
        <v>Неучтённые расходы</v>
      </c>
      <c r="BI55" s="1185"/>
      <c r="BJ55" s="1185" t="b">
        <v>1</v>
      </c>
    </row>
    <row s="1922" customFormat="1" customHeight="1" ht="10.5">
      <c r="A56" s="217"/>
      <c r="B56" s="217"/>
      <c r="C56" s="217"/>
      <c r="D56" s="217"/>
      <c r="E56" s="794">
        <v>11.4</v>
      </c>
      <c r="F56" s="920" cm="1" t="str">
        <f t="array" ref="F56:F56">OFFSET(G56,-1,-1)</f>
        <v>1</v>
      </c>
      <c r="G56" s="217"/>
      <c r="H56" s="217"/>
      <c r="I56" s="217"/>
      <c r="J56" s="217"/>
      <c r="K56" s="217"/>
      <c r="L56" s="217"/>
      <c r="M56" s="217"/>
      <c r="N56" s="217"/>
      <c r="O56" s="217"/>
      <c r="P56" s="217"/>
      <c r="Q56" s="217"/>
      <c r="R56" s="217"/>
      <c r="S56" s="217"/>
      <c r="T56" s="805" cm="1" t="str">
        <f t="array" ref="T56:T56">T51</f>
        <v>true</v>
      </c>
      <c r="U56" s="217"/>
      <c r="V56" s="217"/>
      <c r="W56" s="371" t="s">
        <v>915</v>
      </c>
      <c r="X56" s="217"/>
      <c r="Y56" s="217"/>
      <c r="Z56" s="217"/>
      <c r="AA56" s="217"/>
      <c r="AB56" s="500"/>
      <c r="AC56" s="300" t="s">
        <v>237</v>
      </c>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1"/>
      <c r="BD56" s="217"/>
      <c r="BE56" s="217"/>
      <c r="BF56" s="1182"/>
      <c r="BG56" s="1182"/>
      <c r="BH56" s="1182"/>
      <c r="BI56" s="1185" t="s">
        <v>1234</v>
      </c>
      <c r="BJ56" s="1185"/>
    </row>
    <row customHeight="1" ht="11.115">
      <c r="E57" s="923">
        <v>11.4</v>
      </c>
      <c r="U57" s="176" t="s">
        <v>237</v>
      </c>
      <c r="V57" s="168" t="s">
        <v>1237</v>
      </c>
      <c r="AB57" s="217"/>
      <c r="AI57" s="217"/>
      <c r="AJ57" s="217"/>
      <c r="AK57" s="217"/>
      <c r="AL57" s="217"/>
      <c r="AM57" s="217"/>
      <c r="AN57" s="217"/>
      <c r="AO57" s="217"/>
      <c r="AP57" s="217"/>
      <c r="AQ57" s="217"/>
      <c r="AR57" s="217"/>
      <c r="AS57" s="217"/>
      <c r="AT57" s="217"/>
      <c r="AU57" s="217"/>
      <c r="AV57" s="217"/>
      <c r="AW57" s="217"/>
      <c r="AX57" s="217"/>
      <c r="AY57" s="217"/>
      <c r="AZ57" s="217"/>
      <c r="BA57" s="217"/>
      <c r="BB57" s="217"/>
    </row>
    <row customHeight="1" ht="11.25" hidden="1">
      <c r="E58" s="923">
        <v>0</v>
      </c>
      <c r="AI58" s="217"/>
      <c r="AJ58" s="217"/>
      <c r="AK58" s="217"/>
      <c r="AL58" s="217"/>
      <c r="AM58" s="217"/>
      <c r="AN58" s="217"/>
      <c r="AO58" s="217"/>
      <c r="AP58" s="217"/>
      <c r="AQ58" s="217"/>
      <c r="AR58" s="217"/>
      <c r="AS58" s="217"/>
      <c r="AT58" s="217"/>
      <c r="AU58" s="217"/>
      <c r="AV58" s="217"/>
      <c r="AW58" s="217"/>
      <c r="AX58" s="217"/>
      <c r="AY58" s="217"/>
      <c r="AZ58" s="217"/>
      <c r="BA58" s="217"/>
      <c r="BB58" s="217"/>
    </row>
    <row s="497" customFormat="1" customHeight="1" ht="14.625">
      <c r="A59" s="172"/>
      <c r="B59" s="785"/>
      <c r="C59" s="172"/>
      <c r="D59" s="172"/>
      <c r="E59" s="794">
        <v>15</v>
      </c>
      <c r="F59" s="172"/>
      <c r="Q59" s="736"/>
      <c r="R59" s="736"/>
      <c r="T59" s="172"/>
      <c r="U59" s="172"/>
      <c r="V59" s="172"/>
      <c r="W59" s="172"/>
      <c r="X59" s="172"/>
      <c r="Y59" s="172"/>
      <c r="Z59" s="172"/>
      <c r="AB59" s="1507" t="s">
        <v>694</v>
      </c>
      <c r="AC59" s="1507"/>
      <c r="AD59" s="1507"/>
      <c r="AE59" s="1507"/>
      <c r="AF59" s="1507"/>
      <c r="AG59" s="1507"/>
      <c r="AH59" s="1507"/>
      <c r="AI59" s="1508"/>
      <c r="AJ59" s="1508"/>
      <c r="AK59" s="1508"/>
      <c r="AL59" s="1508"/>
      <c r="AM59" s="1508"/>
      <c r="AN59" s="1508"/>
      <c r="AO59" s="1508"/>
      <c r="AP59" s="1508"/>
      <c r="AQ59" s="1508"/>
      <c r="AR59" s="1508"/>
      <c r="AS59" s="1508"/>
      <c r="AT59" s="1508"/>
      <c r="AU59" s="1508"/>
      <c r="AV59" s="1508"/>
      <c r="AW59" s="1508"/>
      <c r="AX59" s="1508"/>
      <c r="AY59" s="1508"/>
      <c r="AZ59" s="1508"/>
      <c r="BA59" s="1508"/>
      <c r="BB59" s="1508"/>
      <c r="BC59" s="1508"/>
      <c r="BF59" s="1182"/>
      <c r="BG59" s="1182"/>
      <c r="BH59" s="1182"/>
      <c r="BI59" s="1185"/>
      <c r="BJ59" s="1185"/>
    </row>
    <row s="497" customFormat="1" customHeight="1" ht="14.625">
      <c r="A60" s="172"/>
      <c r="B60" s="785"/>
      <c r="C60" s="172"/>
      <c r="D60" s="172"/>
      <c r="E60" s="794">
        <v>15</v>
      </c>
      <c r="F60" s="172"/>
      <c r="Q60" s="736"/>
      <c r="R60" s="736"/>
      <c r="T60" s="172"/>
      <c r="U60" s="172"/>
      <c r="V60" s="172"/>
      <c r="W60" s="172"/>
      <c r="X60" s="172"/>
      <c r="Y60" s="172"/>
      <c r="Z60" s="172"/>
      <c r="AA60" s="919"/>
      <c r="AB60" s="1509"/>
      <c r="AC60" s="1509"/>
      <c r="AD60" s="1509"/>
      <c r="AE60" s="1509"/>
      <c r="AF60" s="1509"/>
      <c r="AG60" s="1509"/>
      <c r="AH60" s="1509"/>
      <c r="AI60" s="1510"/>
      <c r="AJ60" s="1870"/>
      <c r="AK60" s="1870"/>
      <c r="AL60" s="1870"/>
      <c r="AM60" s="1870"/>
      <c r="AN60" s="1870"/>
      <c r="AO60" s="1870"/>
      <c r="AP60" s="1870"/>
      <c r="AQ60" s="1870"/>
      <c r="AR60" s="1870"/>
      <c r="AS60" s="1510"/>
      <c r="AT60" s="1870"/>
      <c r="AU60" s="1870"/>
      <c r="AV60" s="1870"/>
      <c r="AW60" s="1870"/>
      <c r="AX60" s="1870"/>
      <c r="AY60" s="1870"/>
      <c r="AZ60" s="1870"/>
      <c r="BA60" s="1870"/>
      <c r="BB60" s="1870"/>
      <c r="BC60" s="1510"/>
      <c r="BF60" s="1182"/>
      <c r="BG60" s="1182"/>
      <c r="BH60" s="1182"/>
      <c r="BI60" s="1185"/>
      <c r="BJ60" s="1185"/>
    </row>
    <row s="497" customFormat="1" customHeight="1" ht="14.625" hidden="1">
      <c r="A61" s="172"/>
      <c r="B61" s="785"/>
      <c r="C61" s="172"/>
      <c r="D61" s="172"/>
      <c r="E61" s="794">
        <v>15</v>
      </c>
      <c r="F61" s="172"/>
      <c r="G61" s="497"/>
      <c r="H61" s="497"/>
      <c r="I61" s="497"/>
      <c r="J61" s="497"/>
      <c r="K61" s="497"/>
      <c r="L61" s="497"/>
      <c r="M61" s="497"/>
      <c r="N61" s="497"/>
      <c r="O61" s="497"/>
      <c r="P61" s="497"/>
      <c r="Q61" s="736"/>
      <c r="R61" s="736"/>
      <c r="S61" s="497"/>
      <c r="T61" s="805">
        <f>ROW(W61)&gt;ROW(W$61)</f>
        <v>0</v>
      </c>
      <c r="U61" s="172"/>
      <c r="V61" s="176"/>
      <c r="W61" s="172" t="s">
        <v>235</v>
      </c>
      <c r="X61" s="172"/>
      <c r="Y61" s="172"/>
      <c r="Z61" s="172"/>
      <c r="AA61" s="915" t="s">
        <v>219</v>
      </c>
      <c r="AB61" s="1871"/>
      <c r="AC61" s="1871"/>
      <c r="AD61" s="1871"/>
      <c r="AE61" s="1871"/>
      <c r="AF61" s="1871"/>
      <c r="AG61" s="1871"/>
      <c r="AH61" s="1871"/>
      <c r="AI61" s="1510"/>
      <c r="AJ61" s="1870"/>
      <c r="AK61" s="1870"/>
      <c r="AL61" s="1870"/>
      <c r="AM61" s="1870"/>
      <c r="AN61" s="1870"/>
      <c r="AO61" s="1870"/>
      <c r="AP61" s="1870"/>
      <c r="AQ61" s="1870"/>
      <c r="AR61" s="1870"/>
      <c r="AS61" s="1510"/>
      <c r="AT61" s="1870"/>
      <c r="AU61" s="1870"/>
      <c r="AV61" s="1870"/>
      <c r="AW61" s="1870"/>
      <c r="AX61" s="1870"/>
      <c r="AY61" s="1870"/>
      <c r="AZ61" s="1870"/>
      <c r="BA61" s="1870"/>
      <c r="BB61" s="1870"/>
      <c r="BC61" s="1870"/>
      <c r="BD61" s="497"/>
      <c r="BE61" s="497"/>
      <c r="BF61" s="1182"/>
      <c r="BG61" s="1182"/>
      <c r="BH61" s="1182"/>
      <c r="BI61" s="1185"/>
      <c r="BJ61" s="1185"/>
    </row>
    <row s="497" customFormat="1" customHeight="1" ht="14.625">
      <c r="A62" s="172"/>
      <c r="B62" s="785"/>
      <c r="C62" s="172"/>
      <c r="D62" s="172"/>
      <c r="E62" s="794">
        <v>15</v>
      </c>
      <c r="F62" s="172"/>
      <c r="Q62" s="736"/>
      <c r="R62" s="736"/>
      <c r="T62" s="172"/>
      <c r="U62" s="172"/>
      <c r="V62" s="172"/>
      <c r="W62" s="168" t="s">
        <v>1238</v>
      </c>
      <c r="X62" s="172"/>
      <c r="Y62" s="172"/>
      <c r="Z62" s="172"/>
      <c r="AB62" s="1453" t="s">
        <v>695</v>
      </c>
      <c r="AC62" s="1454"/>
      <c r="AD62" s="380"/>
      <c r="AE62" s="380"/>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2"/>
      <c r="BF62" s="1182"/>
      <c r="BG62" s="1182"/>
      <c r="BH62" s="1182"/>
      <c r="BI62" s="1185"/>
      <c r="BJ62" s="1185"/>
    </row>
    <row customHeight="1" ht="11.25">
      <c r="AI63" s="217"/>
      <c r="AJ63" s="217"/>
      <c r="AK63" s="217"/>
      <c r="AL63" s="217"/>
      <c r="AM63" s="217"/>
      <c r="AN63" s="217"/>
      <c r="AO63" s="217"/>
      <c r="AP63" s="217"/>
      <c r="AQ63" s="217"/>
      <c r="AR63" s="217"/>
      <c r="AS63" s="217"/>
      <c r="AT63" s="217"/>
      <c r="AU63" s="217"/>
      <c r="AV63" s="217"/>
      <c r="AW63" s="217"/>
      <c r="AX63" s="217"/>
      <c r="AY63" s="217"/>
      <c r="AZ63" s="217"/>
      <c r="BA63" s="217"/>
      <c r="BB63" s="217"/>
      <c r="BD63" s="217"/>
    </row>
  </sheetData>
  <sheetProtection formatColumns="0" formatRows="0" autoFilter="0" sort="0" insertRows="0" insertColumns="1" deleteRows="0" deleteColumns="0"/>
  <mergeCells count="12">
    <mergeCell ref="X27:X40"/>
    <mergeCell ref="Z27:Z40"/>
    <mergeCell ref="AB62:AC62"/>
    <mergeCell ref="AB59:BC59"/>
    <mergeCell ref="AB60:BC60"/>
    <mergeCell ref="AB24:AB25"/>
    <mergeCell ref="AC24:AC25"/>
    <mergeCell ref="AD24:AD25"/>
    <mergeCell ref="BC24:BC25"/>
    <mergeCell ref="AB61:BC61"/>
    <mergeCell ref="X41:X56"/>
    <mergeCell ref="Z41:Z56"/>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8:BC65518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BBA72-995E-6F78-8ED3-13D6C98862A4}" mc:Ignorable="x14ac xr xr2 xr3">
  <sheetPr>
    <tabColor theme="0" tint="-0.05"/>
  </sheetPr>
  <dimension ref="A1:AG55"/>
  <sheetViews>
    <sheetView showGridLines="0" workbookViewId="0">
      <pane xSplit="26" ySplit="20" topLeftCell="AA21" activePane="bottomRight" state="frozen"/>
      <selection pane="bottomLeft" activeCell="A21" sqref="A21"/>
      <selection pane="topRight" activeCell="AA1" sqref="AA1"/>
      <selection pane="bottomRight" activeCell="AA21" sqref="AA21"/>
    </sheetView>
  </sheetViews>
  <sheetFormatPr defaultColWidth="9.140625" customHeight="1" defaultRowHeight="12.75"/>
  <cols>
    <col min="1" max="1" style="1498" width="3.57421875" hidden="1" customWidth="1"/>
    <col min="2" max="2" style="925" width="8.57421875" hidden="1" customWidth="1"/>
    <col min="3" max="4" style="1498" width="3.57421875" hidden="1" customWidth="1"/>
    <col min="5" max="5" style="923" width="8.421875" hidden="1" customWidth="1"/>
    <col min="6" max="26" style="1498"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98" customFormat="1" customHeight="1" ht="12" hidden="1">
      <c r="B1" s="785"/>
      <c r="E1" s="785"/>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98"/>
      <c r="B29" s="1015">
        <f>(method_reg="Метод сравнения аналогов")</f>
        <v>0</v>
      </c>
      <c r="C29" s="1498"/>
      <c r="D29" s="1498"/>
      <c r="E29" s="923"/>
      <c r="F29" s="1498"/>
      <c r="G29" s="1498"/>
      <c r="H29" s="176">
        <f>IF(B28,H28+1,H28)</f>
        <v>7</v>
      </c>
      <c r="I29" s="1498"/>
      <c r="J29" s="1498"/>
      <c r="K29" s="1498"/>
      <c r="L29" s="1498"/>
      <c r="M29" s="1498"/>
      <c r="N29" s="1498"/>
      <c r="O29" s="1498"/>
      <c r="P29" s="1498"/>
      <c r="Q29" s="1498"/>
      <c r="R29" s="1498"/>
      <c r="S29" s="1498"/>
      <c r="T29" s="1498"/>
      <c r="U29" s="1498"/>
      <c r="V29" s="1498"/>
      <c r="W29" s="1498"/>
      <c r="X29" s="1498"/>
      <c r="Y29" s="1498"/>
      <c r="Z29" s="1498"/>
      <c r="AA29" s="935"/>
      <c r="AB29" s="393" t="s">
        <v>30</v>
      </c>
      <c r="AC29" s="394" t="s">
        <v>31</v>
      </c>
      <c r="AD29" s="395" t="s">
        <v>29</v>
      </c>
      <c r="AE29" s="390"/>
      <c r="AF29" s="390"/>
      <c r="AG29" s="821"/>
    </row>
    <row customHeight="1" ht="27.202499999999997" hidden="1">
      <c r="A30" s="1498"/>
      <c r="B30" s="1015" cm="1" t="str">
        <f t="array" ref="B30:B30">'Баланс Пр'!$A$1</f>
        <v>false</v>
      </c>
      <c r="C30" s="1498"/>
      <c r="D30" s="1498"/>
      <c r="E30" s="794">
        <v>27.9</v>
      </c>
      <c r="F30" s="1498"/>
      <c r="G30" s="1498"/>
      <c r="H30" s="176" cm="1" t="str">
        <f t="array" ref="H30:H30">IF(B29,H29+1,H29)</f>
        <v>7</v>
      </c>
      <c r="I30" s="1498"/>
      <c r="J30" s="1498"/>
      <c r="K30" s="1498"/>
      <c r="L30" s="1498"/>
      <c r="M30" s="1498"/>
      <c r="N30" s="1498"/>
      <c r="O30" s="1498"/>
      <c r="P30" s="1498"/>
      <c r="Q30" s="1498"/>
      <c r="R30" s="1498"/>
      <c r="S30" s="1498"/>
      <c r="T30" s="1498"/>
      <c r="U30" s="1498"/>
      <c r="V30" s="1498"/>
      <c r="W30" s="1498"/>
      <c r="X30" s="1498"/>
      <c r="Y30" s="1498"/>
      <c r="Z30" s="1498"/>
      <c r="AA30" s="935"/>
      <c r="AB30" s="393" t="s">
        <v>30</v>
      </c>
      <c r="AC30" s="394" t="s">
        <v>32</v>
      </c>
      <c r="AD30" s="408" t="s">
        <v>33</v>
      </c>
      <c r="AE30" s="390"/>
      <c r="AF30" s="390"/>
      <c r="AG30" s="821"/>
    </row>
    <row customHeight="1" ht="27.202499999999997">
      <c r="A31" s="1498"/>
      <c r="B31" s="1015" cm="1" t="str">
        <f t="array" ref="B31:B31">'Баланс Тр'!$A$1</f>
        <v>true</v>
      </c>
      <c r="C31" s="1498"/>
      <c r="D31" s="1498"/>
      <c r="E31" s="794">
        <v>27.9</v>
      </c>
      <c r="F31" s="1498"/>
      <c r="G31" s="1498"/>
      <c r="H31" s="176" cm="1" t="str">
        <f t="array" ref="H31:H31">IF(B30,H30+1,H30)</f>
        <v>7</v>
      </c>
      <c r="I31" s="1498"/>
      <c r="J31" s="1498"/>
      <c r="K31" s="1498"/>
      <c r="L31" s="1498"/>
      <c r="M31" s="1498"/>
      <c r="N31" s="1498"/>
      <c r="O31" s="1498"/>
      <c r="P31" s="1498"/>
      <c r="Q31" s="1498"/>
      <c r="R31" s="1498"/>
      <c r="S31" s="1498"/>
      <c r="T31" s="1498"/>
      <c r="U31" s="1498"/>
      <c r="V31" s="1498"/>
      <c r="W31" s="1498"/>
      <c r="X31" s="1498"/>
      <c r="Y31" s="1498"/>
      <c r="Z31" s="1498"/>
      <c r="AA31" s="935"/>
      <c r="AB31" s="393" t="s">
        <v>19</v>
      </c>
      <c r="AC31" s="394" t="s">
        <v>34</v>
      </c>
      <c r="AD31" s="395" t="s">
        <v>35</v>
      </c>
      <c r="AE31" s="390"/>
      <c r="AF31" s="390"/>
      <c r="AG31" s="821"/>
    </row>
    <row customHeight="1" ht="27.202499999999997">
      <c r="B32" s="1015">
        <f>NOT(method_reg="Метод сравнения аналогов")</f>
        <v>1</v>
      </c>
      <c r="E32" s="794">
        <v>27.9</v>
      </c>
      <c r="H32" s="176">
        <f>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98"/>
      <c r="B38" s="1015">
        <f>AND(god=first_year,NOT(method_reg="Метод сравнения аналогов"))</f>
        <v>0</v>
      </c>
      <c r="C38" s="1498"/>
      <c r="D38" s="1498"/>
      <c r="E38" s="794">
        <v>27.9</v>
      </c>
      <c r="F38" s="1498"/>
      <c r="G38" s="1498"/>
      <c r="H38" s="176">
        <f>IF(B37,H37+1,H37)</f>
        <v>14</v>
      </c>
      <c r="I38" s="1498"/>
      <c r="J38" s="1498"/>
      <c r="K38" s="1498"/>
      <c r="L38" s="1498"/>
      <c r="M38" s="1498"/>
      <c r="N38" s="1498"/>
      <c r="O38" s="1498"/>
      <c r="P38" s="1498"/>
      <c r="Q38" s="1498"/>
      <c r="R38" s="1498"/>
      <c r="S38" s="1498"/>
      <c r="T38" s="1498"/>
      <c r="U38" s="1498"/>
      <c r="V38" s="1498"/>
      <c r="W38" s="1498"/>
      <c r="X38" s="1498"/>
      <c r="Y38" s="1498"/>
      <c r="Z38" s="1498"/>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98"/>
      <c r="B41" s="1015">
        <f>OR(method_reg="Метод индексации",method_reg="Метод обеспечения доходности инвестированного капитала")</f>
        <v>1</v>
      </c>
      <c r="C41" s="1498"/>
      <c r="D41" s="1498"/>
      <c r="E41" s="794">
        <v>27.9</v>
      </c>
      <c r="F41" s="1498"/>
      <c r="G41" s="1498"/>
      <c r="H41" s="176">
        <f>IF(B40,H40+1,H40)</f>
        <v>16</v>
      </c>
      <c r="I41" s="1498"/>
      <c r="J41" s="1498"/>
      <c r="K41" s="1498"/>
      <c r="L41" s="1498"/>
      <c r="M41" s="1498"/>
      <c r="N41" s="1498"/>
      <c r="O41" s="1498"/>
      <c r="P41" s="1498"/>
      <c r="Q41" s="1498"/>
      <c r="R41" s="1498"/>
      <c r="S41" s="1498"/>
      <c r="T41" s="1498"/>
      <c r="U41" s="1498"/>
      <c r="V41" s="1498"/>
      <c r="W41" s="1498"/>
      <c r="X41" s="1498"/>
      <c r="Y41" s="1498"/>
      <c r="Z41" s="1498"/>
      <c r="AA41" s="935"/>
      <c r="AB41" s="393" t="s">
        <v>19</v>
      </c>
      <c r="AC41" s="394" t="s">
        <v>54</v>
      </c>
      <c r="AD41" s="395" t="s">
        <v>55</v>
      </c>
      <c r="AE41" s="390"/>
      <c r="AF41" s="390"/>
      <c r="AG41" s="821"/>
    </row>
    <row customHeight="1" ht="27.202499999999997">
      <c r="A42" s="1498"/>
      <c r="B42" s="1015">
        <f>OR(method_reg="Метод индексации",method_reg="Метод обеспечения доходности инвестированного капитала")</f>
        <v>1</v>
      </c>
      <c r="C42" s="1498"/>
      <c r="D42" s="1498"/>
      <c r="E42" s="794">
        <v>27.9</v>
      </c>
      <c r="F42" s="1498"/>
      <c r="G42" s="1498"/>
      <c r="H42" s="176">
        <f>IF(B41,H41+1,H41)</f>
        <v>17</v>
      </c>
      <c r="I42" s="1498"/>
      <c r="J42" s="1498"/>
      <c r="K42" s="1498"/>
      <c r="L42" s="1498"/>
      <c r="M42" s="1498"/>
      <c r="N42" s="1498"/>
      <c r="O42" s="1498"/>
      <c r="P42" s="1498"/>
      <c r="Q42" s="1498"/>
      <c r="R42" s="1498"/>
      <c r="S42" s="1498"/>
      <c r="T42" s="1498"/>
      <c r="U42" s="1498"/>
      <c r="V42" s="1498"/>
      <c r="W42" s="1498"/>
      <c r="X42" s="1498"/>
      <c r="Y42" s="1498"/>
      <c r="Z42" s="1498"/>
      <c r="AA42" s="935"/>
      <c r="AB42" s="393" t="s">
        <v>19</v>
      </c>
      <c r="AC42" s="394" t="s">
        <v>56</v>
      </c>
      <c r="AD42" s="395" t="s">
        <v>57</v>
      </c>
      <c r="AE42" s="390"/>
      <c r="AF42" s="390"/>
      <c r="AG42" s="821"/>
    </row>
    <row customHeight="1" ht="27.202499999999997">
      <c r="A43" s="1498"/>
      <c r="B43" s="1015">
        <f>OR(method_reg="Метод индексации",method_reg="Метод обеспечения доходности инвестированного капитала")</f>
        <v>1</v>
      </c>
      <c r="C43" s="1498"/>
      <c r="D43" s="1498"/>
      <c r="E43" s="794">
        <v>27.9</v>
      </c>
      <c r="F43" s="1498"/>
      <c r="G43" s="1498"/>
      <c r="H43" s="176">
        <f>IF(B42,H42+1,H42)</f>
        <v>18</v>
      </c>
      <c r="I43" s="1498"/>
      <c r="J43" s="1498"/>
      <c r="K43" s="1498"/>
      <c r="L43" s="1498"/>
      <c r="M43" s="1498"/>
      <c r="N43" s="1498"/>
      <c r="O43" s="1498"/>
      <c r="P43" s="1498"/>
      <c r="Q43" s="1498"/>
      <c r="R43" s="1498"/>
      <c r="S43" s="1498"/>
      <c r="T43" s="1498"/>
      <c r="U43" s="1498"/>
      <c r="V43" s="1498"/>
      <c r="W43" s="1498"/>
      <c r="X43" s="1498"/>
      <c r="Y43" s="1498"/>
      <c r="Z43" s="1498"/>
      <c r="AA43" s="935"/>
      <c r="AB43" s="393" t="s">
        <v>19</v>
      </c>
      <c r="AC43" s="394" t="s">
        <v>58</v>
      </c>
      <c r="AD43" s="395" t="s">
        <v>59</v>
      </c>
      <c r="AE43" s="390"/>
      <c r="AF43" s="390"/>
      <c r="AG43" s="821"/>
    </row>
    <row customHeight="1" ht="27.202499999999997">
      <c r="A44" s="1498"/>
      <c r="B44" s="1015">
        <f>OR(method_reg="Метод индексации",method_reg="Метод обеспечения доходности инвестированного капитала")</f>
        <v>1</v>
      </c>
      <c r="C44" s="1498"/>
      <c r="D44" s="1498"/>
      <c r="E44" s="794">
        <v>27.9</v>
      </c>
      <c r="F44" s="1498"/>
      <c r="G44" s="1498"/>
      <c r="H44" s="176">
        <f>IF(B43,H43+1,H43)</f>
        <v>19</v>
      </c>
      <c r="I44" s="1498"/>
      <c r="J44" s="1498"/>
      <c r="K44" s="1498"/>
      <c r="L44" s="1498"/>
      <c r="M44" s="1498"/>
      <c r="N44" s="1498"/>
      <c r="O44" s="1498"/>
      <c r="P44" s="1498"/>
      <c r="Q44" s="1498"/>
      <c r="R44" s="1498"/>
      <c r="S44" s="1498"/>
      <c r="T44" s="1498"/>
      <c r="U44" s="1498"/>
      <c r="V44" s="1498"/>
      <c r="W44" s="1498"/>
      <c r="X44" s="1498"/>
      <c r="Y44" s="1498"/>
      <c r="Z44" s="1498"/>
      <c r="AA44" s="935"/>
      <c r="AB44" s="393" t="s">
        <v>19</v>
      </c>
      <c r="AC44" s="394" t="s">
        <v>60</v>
      </c>
      <c r="AD44" s="395" t="s">
        <v>61</v>
      </c>
      <c r="AE44" s="390"/>
      <c r="AF44" s="390"/>
      <c r="AG44" s="821"/>
    </row>
    <row customHeight="1" ht="27.202499999999997">
      <c r="A45" s="1498"/>
      <c r="B45" s="1015">
        <f>OR(method_reg="Метод индексации",method_reg="Метод обеспечения доходности инвестированного капитала")</f>
        <v>1</v>
      </c>
      <c r="C45" s="1498"/>
      <c r="D45" s="1498"/>
      <c r="E45" s="794">
        <v>27.9</v>
      </c>
      <c r="F45" s="1498"/>
      <c r="G45" s="1498"/>
      <c r="H45" s="176">
        <f>IF(B44,H44+1,H44)</f>
        <v>20</v>
      </c>
      <c r="I45" s="1498"/>
      <c r="J45" s="1498"/>
      <c r="K45" s="1498"/>
      <c r="L45" s="1498"/>
      <c r="M45" s="1498"/>
      <c r="N45" s="1498"/>
      <c r="O45" s="1498"/>
      <c r="P45" s="1498"/>
      <c r="Q45" s="1498"/>
      <c r="R45" s="1498"/>
      <c r="S45" s="1498"/>
      <c r="T45" s="1498"/>
      <c r="U45" s="1498"/>
      <c r="V45" s="1498"/>
      <c r="W45" s="1498"/>
      <c r="X45" s="1498"/>
      <c r="Y45" s="1498"/>
      <c r="Z45" s="1498"/>
      <c r="AA45" s="935"/>
      <c r="AB45" s="393" t="s">
        <v>19</v>
      </c>
      <c r="AC45" s="394" t="s">
        <v>62</v>
      </c>
      <c r="AD45" s="395" t="s">
        <v>63</v>
      </c>
      <c r="AE45" s="390"/>
      <c r="AF45" s="390"/>
      <c r="AG45" s="821"/>
    </row>
    <row customHeight="1" ht="27.202499999999997" hidden="1">
      <c r="A46" s="1498"/>
      <c r="B46" s="1015">
        <f>method_reg="Метод экономически обоснованных расходов"</f>
        <v>0</v>
      </c>
      <c r="C46" s="1498"/>
      <c r="D46" s="1498"/>
      <c r="E46" s="794">
        <v>27.9</v>
      </c>
      <c r="F46" s="1498"/>
      <c r="G46" s="1498"/>
      <c r="H46" s="176">
        <f>IF(B45,H45+1,H45)</f>
        <v>21</v>
      </c>
      <c r="I46" s="1498"/>
      <c r="J46" s="1498"/>
      <c r="K46" s="1498"/>
      <c r="L46" s="1498"/>
      <c r="M46" s="1498"/>
      <c r="N46" s="1498"/>
      <c r="O46" s="1498"/>
      <c r="P46" s="1498"/>
      <c r="Q46" s="1498"/>
      <c r="R46" s="1498"/>
      <c r="S46" s="1498"/>
      <c r="T46" s="1498"/>
      <c r="U46" s="1498"/>
      <c r="V46" s="1498"/>
      <c r="W46" s="1498"/>
      <c r="X46" s="1498"/>
      <c r="Y46" s="1498"/>
      <c r="Z46" s="1498"/>
      <c r="AA46" s="935"/>
      <c r="AB46" s="393" t="s">
        <v>30</v>
      </c>
      <c r="AC46" s="394" t="s">
        <v>64</v>
      </c>
      <c r="AD46" s="394" t="s">
        <v>65</v>
      </c>
      <c r="AE46" s="390"/>
      <c r="AF46" s="390"/>
      <c r="AG46" s="821"/>
    </row>
    <row customHeight="1" ht="27.202499999999997">
      <c r="A47" s="1498"/>
      <c r="B47" s="1015">
        <f>OR(method_reg="Метод индексации",method_reg="Метод обеспечения доходности инвестированного капитала")</f>
        <v>1</v>
      </c>
      <c r="C47" s="1498"/>
      <c r="D47" s="1498"/>
      <c r="E47" s="794">
        <v>27.9</v>
      </c>
      <c r="F47" s="1498"/>
      <c r="G47" s="1498"/>
      <c r="H47" s="176" cm="1" t="str">
        <f t="array" ref="H47:H47">IF(B46,H46+1,H46)</f>
        <v>21</v>
      </c>
      <c r="I47" s="1498"/>
      <c r="J47" s="1498"/>
      <c r="K47" s="1498"/>
      <c r="L47" s="1498"/>
      <c r="M47" s="1498"/>
      <c r="N47" s="1498"/>
      <c r="O47" s="1498"/>
      <c r="P47" s="1498"/>
      <c r="Q47" s="1498"/>
      <c r="R47" s="1498"/>
      <c r="S47" s="1498"/>
      <c r="T47" s="1498"/>
      <c r="U47" s="1498"/>
      <c r="V47" s="1498"/>
      <c r="W47" s="1498"/>
      <c r="X47" s="1498"/>
      <c r="Y47" s="1498"/>
      <c r="Z47" s="1498"/>
      <c r="AA47" s="935"/>
      <c r="AB47" s="393" t="s">
        <v>19</v>
      </c>
      <c r="AC47" s="394" t="s">
        <v>66</v>
      </c>
      <c r="AD47" s="395" t="s">
        <v>67</v>
      </c>
      <c r="AE47" s="390"/>
      <c r="AF47" s="390"/>
      <c r="AG47" s="821"/>
    </row>
    <row customHeight="1" ht="27.202499999999997" hidden="1">
      <c r="A48" s="1498"/>
      <c r="B48" s="1015">
        <f>(method_reg="Метод сравнения аналогов")</f>
        <v>0</v>
      </c>
      <c r="C48" s="1498"/>
      <c r="D48" s="1498"/>
      <c r="E48" s="794">
        <v>27.9</v>
      </c>
      <c r="F48" s="1498"/>
      <c r="G48" s="1498"/>
      <c r="H48" s="176">
        <f>IF(B47,H47+1,H47)</f>
        <v>22</v>
      </c>
      <c r="I48" s="1498"/>
      <c r="J48" s="1498"/>
      <c r="K48" s="1498"/>
      <c r="L48" s="1498"/>
      <c r="M48" s="1498"/>
      <c r="N48" s="1498"/>
      <c r="O48" s="1498"/>
      <c r="P48" s="1498"/>
      <c r="Q48" s="1498"/>
      <c r="R48" s="1498"/>
      <c r="S48" s="1498"/>
      <c r="T48" s="1498"/>
      <c r="U48" s="1498"/>
      <c r="V48" s="1498"/>
      <c r="W48" s="1498"/>
      <c r="X48" s="1498"/>
      <c r="Y48" s="1498"/>
      <c r="Z48" s="1498"/>
      <c r="AA48" s="935"/>
      <c r="AB48" s="393" t="s">
        <v>30</v>
      </c>
      <c r="AC48" s="394" t="s">
        <v>68</v>
      </c>
      <c r="AD48" s="408" t="s">
        <v>69</v>
      </c>
      <c r="AE48" s="390"/>
      <c r="AF48" s="390"/>
      <c r="AG48" s="821"/>
    </row>
    <row customHeight="1" ht="27.202499999999997" hidden="1">
      <c r="A49" s="1498"/>
      <c r="B49" s="1015">
        <f>(method_reg="Метод сравнения аналогов")</f>
        <v>0</v>
      </c>
      <c r="C49" s="1498"/>
      <c r="D49" s="1498"/>
      <c r="E49" s="794">
        <v>27.9</v>
      </c>
      <c r="F49" s="1498"/>
      <c r="G49" s="1498"/>
      <c r="H49" s="176" cm="1" t="str">
        <f t="array" ref="H49:H49">IF(B48,H48+1,H48)</f>
        <v>22</v>
      </c>
      <c r="I49" s="1498"/>
      <c r="J49" s="1498"/>
      <c r="K49" s="1498"/>
      <c r="L49" s="1498"/>
      <c r="M49" s="1498"/>
      <c r="N49" s="1498"/>
      <c r="O49" s="1498"/>
      <c r="P49" s="1498"/>
      <c r="Q49" s="1498"/>
      <c r="R49" s="1498"/>
      <c r="S49" s="1498"/>
      <c r="T49" s="1498"/>
      <c r="U49" s="1498"/>
      <c r="V49" s="1498"/>
      <c r="W49" s="1498"/>
      <c r="X49" s="1498"/>
      <c r="Y49" s="1498"/>
      <c r="Z49" s="1498"/>
      <c r="AA49" s="935"/>
      <c r="AB49" s="393" t="s">
        <v>30</v>
      </c>
      <c r="AC49" s="394" t="s">
        <v>70</v>
      </c>
      <c r="AD49" s="408" t="s">
        <v>71</v>
      </c>
      <c r="AE49" s="390"/>
      <c r="AF49" s="390"/>
      <c r="AG49" s="821"/>
    </row>
    <row customHeight="1" ht="27.202499999999997" hidden="1">
      <c r="A50" s="1498"/>
      <c r="B50" s="1015">
        <f>(method_reg="Метод сравнения аналогов")</f>
        <v>0</v>
      </c>
      <c r="C50" s="1498"/>
      <c r="D50" s="1498"/>
      <c r="E50" s="794">
        <v>27.9</v>
      </c>
      <c r="F50" s="1498"/>
      <c r="G50" s="1498"/>
      <c r="H50" s="176" cm="1" t="str">
        <f t="array" ref="H50:H50">IF(B48,H48+1,H48)</f>
        <v>22</v>
      </c>
      <c r="I50" s="1498"/>
      <c r="J50" s="1498"/>
      <c r="K50" s="1498"/>
      <c r="L50" s="1498"/>
      <c r="M50" s="1498"/>
      <c r="N50" s="1498"/>
      <c r="O50" s="1498"/>
      <c r="P50" s="1498"/>
      <c r="Q50" s="1498"/>
      <c r="R50" s="1498"/>
      <c r="S50" s="1498"/>
      <c r="T50" s="1498"/>
      <c r="U50" s="1498"/>
      <c r="V50" s="1498"/>
      <c r="W50" s="1498"/>
      <c r="X50" s="1498"/>
      <c r="Y50" s="1498"/>
      <c r="Z50" s="1498"/>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98"/>
      <c r="B53" s="1015">
        <f>OR(method_reg="Метод индексации",method_reg="Метод обеспечения доходности инвестированного капитала")</f>
        <v>1</v>
      </c>
      <c r="C53" s="1498"/>
      <c r="D53" s="1498"/>
      <c r="E53" s="794">
        <v>27.9</v>
      </c>
      <c r="F53" s="1498"/>
      <c r="G53" s="1498"/>
      <c r="H53" s="176">
        <f>IF(B52,H52+1,H52)</f>
        <v>24</v>
      </c>
      <c r="I53" s="1498"/>
      <c r="J53" s="1498"/>
      <c r="K53" s="1498"/>
      <c r="L53" s="1498"/>
      <c r="M53" s="1498"/>
      <c r="N53" s="1498"/>
      <c r="O53" s="1498"/>
      <c r="P53" s="1498"/>
      <c r="Q53" s="1498"/>
      <c r="R53" s="1498"/>
      <c r="S53" s="1498"/>
      <c r="T53" s="1498"/>
      <c r="U53" s="1498"/>
      <c r="V53" s="1498"/>
      <c r="W53" s="1498"/>
      <c r="X53" s="1498"/>
      <c r="Y53" s="1498"/>
      <c r="Z53" s="1498"/>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7DD28-A888-B968-CA98-A73209A40F6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O41" sqref="AO4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372</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424</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425</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426</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Ульяновская область / 2026 / ООО "НИИАР-ГЕНЕРАЦИЯ" (ИНН:7329008990, КПП:732901001)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385</v>
      </c>
      <c r="AC24" s="1440" t="s">
        <v>716</v>
      </c>
      <c r="AD24" s="1440" t="s">
        <v>428</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582</v>
      </c>
    </row>
    <row customHeight="1" ht="56.355">
      <c r="E25" s="794">
        <v>57.8</v>
      </c>
      <c r="AB25" s="1441"/>
      <c r="AC25" s="1440"/>
      <c r="AD25" s="1440"/>
      <c r="AE25" s="1356" t="s">
        <v>1239</v>
      </c>
      <c r="AF25" s="1356" t="s">
        <v>1239</v>
      </c>
      <c r="AG25" s="1356" t="s">
        <v>1239</v>
      </c>
      <c r="AH25" s="1356" t="s">
        <v>1239</v>
      </c>
      <c r="AI25" s="1356" t="s">
        <v>1239</v>
      </c>
      <c r="AJ25" s="1356" t="s">
        <v>1239</v>
      </c>
      <c r="AK25" s="1356" t="s">
        <v>1239</v>
      </c>
      <c r="AL25" s="1356" t="s">
        <v>1239</v>
      </c>
      <c r="AM25" s="1356" t="s">
        <v>1239</v>
      </c>
      <c r="AN25" s="1356" t="s">
        <v>1239</v>
      </c>
      <c r="AO25" s="166" t="s">
        <v>401</v>
      </c>
      <c r="AP25" s="166" t="s">
        <v>401</v>
      </c>
      <c r="AQ25" s="166" t="s">
        <v>401</v>
      </c>
      <c r="AR25" s="166" t="s">
        <v>401</v>
      </c>
      <c r="AS25" s="166" t="s">
        <v>401</v>
      </c>
      <c r="AT25" s="166" t="s">
        <v>401</v>
      </c>
      <c r="AU25" s="166" t="s">
        <v>401</v>
      </c>
      <c r="AV25" s="166" t="s">
        <v>401</v>
      </c>
      <c r="AW25" s="166" t="s">
        <v>401</v>
      </c>
      <c r="AX25" s="166" t="s">
        <v>401</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311</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337</v>
      </c>
      <c r="AC28" s="160" t="s">
        <v>1240</v>
      </c>
      <c r="AD28" s="322" t="s">
        <v>799</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1241</v>
      </c>
    </row>
    <row customHeight="1" ht="16.575" hidden="1">
      <c r="E29" s="794">
        <v>17</v>
      </c>
      <c r="F29" s="920" cm="1" t="str">
        <f t="array" ref="F29:F29">F28</f>
        <v>0</v>
      </c>
      <c r="T29" s="805" cm="1" t="str">
        <f t="array" ref="T29:T29">T28</f>
        <v>false</v>
      </c>
      <c r="AB29" s="170" t="s">
        <v>436</v>
      </c>
      <c r="AC29" s="161" t="s">
        <v>1242</v>
      </c>
      <c r="AD29" s="170" t="s">
        <v>799</v>
      </c>
      <c r="AE29" s="297"/>
      <c r="AF29" s="1927"/>
      <c r="AG29" s="1927"/>
      <c r="AH29" s="111"/>
      <c r="AI29" s="111"/>
      <c r="AJ29" s="111"/>
      <c r="AK29" s="111"/>
      <c r="AL29" s="111"/>
      <c r="AM29" s="111"/>
      <c r="AN29" s="111"/>
      <c r="AO29" s="297"/>
      <c r="AP29" s="1927"/>
      <c r="AQ29" s="1927"/>
      <c r="AR29" s="111"/>
      <c r="AS29" s="111"/>
      <c r="AT29" s="111"/>
      <c r="AU29" s="111"/>
      <c r="AV29" s="111"/>
      <c r="AW29" s="111"/>
      <c r="AX29" s="111"/>
      <c r="AY29" s="74"/>
      <c r="BB29" s="1204" t="s">
        <v>1243</v>
      </c>
    </row>
    <row customHeight="1" ht="16.575" hidden="1">
      <c r="E30" s="794">
        <v>17</v>
      </c>
      <c r="F30" s="920" cm="1" t="str">
        <f t="array" ref="F30:F30">F29</f>
        <v>0</v>
      </c>
      <c r="T30" s="805" cm="1" t="str">
        <f t="array" ref="T30:T30">T29</f>
        <v>false</v>
      </c>
      <c r="AB30" s="170" t="s">
        <v>899</v>
      </c>
      <c r="AC30" s="161" t="s">
        <v>1244</v>
      </c>
      <c r="AD30" s="170" t="s">
        <v>799</v>
      </c>
      <c r="AE30" s="297"/>
      <c r="AF30" s="1927"/>
      <c r="AG30" s="1927"/>
      <c r="AH30" s="111"/>
      <c r="AI30" s="111"/>
      <c r="AJ30" s="111"/>
      <c r="AK30" s="111"/>
      <c r="AL30" s="111"/>
      <c r="AM30" s="111"/>
      <c r="AN30" s="111"/>
      <c r="AO30" s="297"/>
      <c r="AP30" s="1927"/>
      <c r="AQ30" s="1927"/>
      <c r="AR30" s="111"/>
      <c r="AS30" s="111"/>
      <c r="AT30" s="111"/>
      <c r="AU30" s="111"/>
      <c r="AV30" s="111"/>
      <c r="AW30" s="111"/>
      <c r="AX30" s="111"/>
      <c r="AY30" s="74"/>
      <c r="BB30" s="1204" t="s">
        <v>1245</v>
      </c>
    </row>
    <row customHeight="1" ht="33.345000000000006" hidden="1">
      <c r="E31" s="794">
        <v>34.2</v>
      </c>
      <c r="F31" s="920" cm="1" t="str">
        <f t="array" ref="F31:F31">F30</f>
        <v>0</v>
      </c>
      <c r="T31" s="805" cm="1" t="str">
        <f t="array" ref="T31:T31">T30</f>
        <v>false</v>
      </c>
      <c r="AB31" s="170" t="s">
        <v>901</v>
      </c>
      <c r="AC31" s="161" t="s">
        <v>1246</v>
      </c>
      <c r="AD31" s="170" t="s">
        <v>799</v>
      </c>
      <c r="AE31" s="297"/>
      <c r="AF31" s="1927"/>
      <c r="AG31" s="1927"/>
      <c r="AH31" s="111"/>
      <c r="AI31" s="111"/>
      <c r="AJ31" s="111"/>
      <c r="AK31" s="111"/>
      <c r="AL31" s="111"/>
      <c r="AM31" s="111"/>
      <c r="AN31" s="111"/>
      <c r="AO31" s="297"/>
      <c r="AP31" s="1927"/>
      <c r="AQ31" s="1927"/>
      <c r="AR31" s="111"/>
      <c r="AS31" s="111"/>
      <c r="AT31" s="111"/>
      <c r="AU31" s="111"/>
      <c r="AV31" s="111"/>
      <c r="AW31" s="111"/>
      <c r="AX31" s="111"/>
      <c r="AY31" s="74"/>
      <c r="BB31" s="1204" t="s">
        <v>1247</v>
      </c>
    </row>
    <row customHeight="1" ht="16.575" hidden="1">
      <c r="E32" s="794">
        <v>17</v>
      </c>
      <c r="F32" s="920" cm="1" t="str">
        <f t="array" ref="F32:F32">F31</f>
        <v>0</v>
      </c>
      <c r="T32" s="805" cm="1" t="str">
        <f t="array" ref="T32:T32">T31</f>
        <v>false</v>
      </c>
      <c r="AB32" s="170" t="s">
        <v>440</v>
      </c>
      <c r="AC32" s="320" t="s">
        <v>1248</v>
      </c>
      <c r="AD32" s="170" t="s">
        <v>485</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500</v>
      </c>
    </row>
    <row customHeight="1" ht="16.575" hidden="1">
      <c r="E33" s="794">
        <v>17</v>
      </c>
      <c r="F33" s="920" cm="1" t="str">
        <f t="array" ref="F33:F33">F32</f>
        <v>0</v>
      </c>
      <c r="T33" s="805" cm="1" t="str">
        <f t="array" ref="T33:T33">T32</f>
        <v>false</v>
      </c>
      <c r="AB33" s="321">
        <v>3</v>
      </c>
      <c r="AC33" s="320" t="s">
        <v>1249</v>
      </c>
      <c r="AD33" s="170"/>
      <c r="AE33" s="385">
        <f>1+AE32%</f>
        <v>1</v>
      </c>
      <c r="AF33" s="1929">
        <f>AE33*(1+AF32%)</f>
        <v>1</v>
      </c>
      <c r="AG33" s="1929">
        <f>AF33*(1+AG32%)</f>
        <v>1</v>
      </c>
      <c r="AH33" s="112">
        <f>AG33*(1+AH32%)</f>
        <v>1</v>
      </c>
      <c r="AI33" s="112">
        <f>AH33*(1+AI32%)</f>
        <v>1</v>
      </c>
      <c r="AJ33" s="112">
        <f>AI33*(1+AJ32%)</f>
        <v>1</v>
      </c>
      <c r="AK33" s="112">
        <f>AJ33*(1+AK32%)</f>
        <v>1</v>
      </c>
      <c r="AL33" s="112">
        <f>AK33*(1+AL32%)</f>
        <v>1</v>
      </c>
      <c r="AM33" s="112">
        <f>AL33*(1+AM32%)</f>
        <v>1</v>
      </c>
      <c r="AN33" s="112">
        <f>AM33*(1+AN32%)</f>
        <v>1</v>
      </c>
      <c r="AO33" s="385">
        <f>1+AO32%</f>
        <v>1</v>
      </c>
      <c r="AP33" s="1929">
        <f>AO33*(1+AP32%)</f>
        <v>1</v>
      </c>
      <c r="AQ33" s="1929">
        <f>AP33*(1+AQ32%)</f>
        <v>1</v>
      </c>
      <c r="AR33" s="112">
        <f>AQ33*(1+AR32%)</f>
        <v>1</v>
      </c>
      <c r="AS33" s="112">
        <f>AR33*(1+AS32%)</f>
        <v>1</v>
      </c>
      <c r="AT33" s="112">
        <f>AS33*(1+AT32%)</f>
        <v>1</v>
      </c>
      <c r="AU33" s="112">
        <f>AT33*(1+AU32%)</f>
        <v>1</v>
      </c>
      <c r="AV33" s="112">
        <f>AU33*(1+AV32%)</f>
        <v>1</v>
      </c>
      <c r="AW33" s="112">
        <f>AV33*(1+AW32%)</f>
        <v>1</v>
      </c>
      <c r="AX33" s="112">
        <f>AW33*(1+AX32%)</f>
        <v>1</v>
      </c>
      <c r="AY33" s="74"/>
      <c r="BB33" s="1204" t="s">
        <v>1250</v>
      </c>
    </row>
    <row s="316" customFormat="1" customHeight="1" ht="16.575" hidden="1">
      <c r="E34" s="794">
        <v>17</v>
      </c>
      <c r="F34" s="920" cm="1" t="str">
        <f t="array" ref="F34:F34">F33</f>
        <v>0</v>
      </c>
      <c r="G34" s="736" t="s">
        <v>1251</v>
      </c>
      <c r="T34" s="805" cm="1" t="str">
        <f t="array" ref="T34:T34">T33</f>
        <v>false</v>
      </c>
      <c r="AB34" s="322" t="s">
        <v>618</v>
      </c>
      <c r="AC34" s="160" t="s">
        <v>1252</v>
      </c>
      <c r="AD34" s="322" t="s">
        <v>799</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1253</v>
      </c>
    </row>
    <row s="1642"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услуги по передаче тепловой энергии, теплоносителя (Не определено)</v>
      </c>
      <c r="W35" s="1437"/>
      <c r="X35" s="172" t="s">
        <v>337</v>
      </c>
      <c r="Y35" s="1437"/>
      <c r="Z35" s="1437"/>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30"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337</v>
      </c>
      <c r="AC36" s="160" t="s">
        <v>1240</v>
      </c>
      <c r="AD36" s="322" t="s">
        <v>799</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92"/>
      <c r="AZ36" s="316"/>
      <c r="BA36" s="316"/>
      <c r="BB36" s="1204" t="s">
        <v>1241</v>
      </c>
    </row>
    <row s="1642"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436</v>
      </c>
      <c r="AC37" s="161" t="s">
        <v>1242</v>
      </c>
      <c r="AD37" s="170" t="s">
        <v>799</v>
      </c>
      <c r="AE37" s="297"/>
      <c r="AF37" s="1927"/>
      <c r="AG37" s="1927"/>
      <c r="AH37" s="1931"/>
      <c r="AI37" s="1931"/>
      <c r="AJ37" s="1931"/>
      <c r="AK37" s="1931"/>
      <c r="AL37" s="1931"/>
      <c r="AM37" s="1931"/>
      <c r="AN37" s="1931"/>
      <c r="AO37" s="297"/>
      <c r="AP37" s="1927"/>
      <c r="AQ37" s="1927"/>
      <c r="AR37" s="1931"/>
      <c r="AS37" s="1931"/>
      <c r="AT37" s="1931"/>
      <c r="AU37" s="1931"/>
      <c r="AV37" s="1931"/>
      <c r="AW37" s="1931"/>
      <c r="AX37" s="1931"/>
      <c r="AY37" s="1792"/>
      <c r="AZ37" s="217"/>
      <c r="BA37" s="217"/>
      <c r="BB37" s="1204" t="s">
        <v>1243</v>
      </c>
    </row>
    <row s="1642"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899</v>
      </c>
      <c r="AC38" s="161" t="s">
        <v>1244</v>
      </c>
      <c r="AD38" s="170" t="s">
        <v>799</v>
      </c>
      <c r="AE38" s="297"/>
      <c r="AF38" s="1927"/>
      <c r="AG38" s="1927"/>
      <c r="AH38" s="1931"/>
      <c r="AI38" s="1931"/>
      <c r="AJ38" s="1931"/>
      <c r="AK38" s="1931"/>
      <c r="AL38" s="1931"/>
      <c r="AM38" s="1931"/>
      <c r="AN38" s="1931"/>
      <c r="AO38" s="297"/>
      <c r="AP38" s="1927"/>
      <c r="AQ38" s="1927"/>
      <c r="AR38" s="1931"/>
      <c r="AS38" s="1931"/>
      <c r="AT38" s="1931"/>
      <c r="AU38" s="1931"/>
      <c r="AV38" s="1931"/>
      <c r="AW38" s="1931"/>
      <c r="AX38" s="1931"/>
      <c r="AY38" s="1792"/>
      <c r="AZ38" s="217"/>
      <c r="BA38" s="217"/>
      <c r="BB38" s="1204" t="s">
        <v>1245</v>
      </c>
    </row>
    <row s="1642"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901</v>
      </c>
      <c r="AC39" s="161" t="s">
        <v>1246</v>
      </c>
      <c r="AD39" s="170" t="s">
        <v>799</v>
      </c>
      <c r="AE39" s="297"/>
      <c r="AF39" s="1927"/>
      <c r="AG39" s="1927"/>
      <c r="AH39" s="1931"/>
      <c r="AI39" s="1931"/>
      <c r="AJ39" s="1931"/>
      <c r="AK39" s="1931"/>
      <c r="AL39" s="1931"/>
      <c r="AM39" s="1931"/>
      <c r="AN39" s="1931"/>
      <c r="AO39" s="297"/>
      <c r="AP39" s="1927"/>
      <c r="AQ39" s="1927"/>
      <c r="AR39" s="1931"/>
      <c r="AS39" s="1931"/>
      <c r="AT39" s="1931"/>
      <c r="AU39" s="1931"/>
      <c r="AV39" s="1931"/>
      <c r="AW39" s="1931"/>
      <c r="AX39" s="1931"/>
      <c r="AY39" s="1792"/>
      <c r="AZ39" s="217"/>
      <c r="BA39" s="217"/>
      <c r="BB39" s="1204" t="s">
        <v>1247</v>
      </c>
    </row>
    <row s="1642"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440</v>
      </c>
      <c r="AC40" s="320" t="s">
        <v>1248</v>
      </c>
      <c r="AD40" s="170" t="s">
        <v>485</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105.1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92"/>
      <c r="AZ40" s="217"/>
      <c r="BA40" s="217"/>
      <c r="BB40" s="1204" t="s">
        <v>500</v>
      </c>
    </row>
    <row s="1642"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1249</v>
      </c>
      <c r="AD41" s="170"/>
      <c r="AE41" s="385">
        <f>1+AE40%</f>
        <v>1</v>
      </c>
      <c r="AF41" s="1929">
        <f>AE41*(1+AF40%)</f>
        <v>1</v>
      </c>
      <c r="AG41" s="1929">
        <f>AF41*(1+AG40%)</f>
        <v>1</v>
      </c>
      <c r="AH41" s="1933">
        <f>AG41*(1+AH40%)</f>
        <v>1</v>
      </c>
      <c r="AI41" s="1933">
        <f>AH41*(1+AI40%)</f>
        <v>1</v>
      </c>
      <c r="AJ41" s="1933">
        <f>AI41*(1+AJ40%)</f>
        <v>1</v>
      </c>
      <c r="AK41" s="1933">
        <f>AJ41*(1+AK40%)</f>
        <v>1</v>
      </c>
      <c r="AL41" s="1933">
        <f>AK41*(1+AL40%)</f>
        <v>1</v>
      </c>
      <c r="AM41" s="1933">
        <f>AL41*(1+AM40%)</f>
        <v>1</v>
      </c>
      <c r="AN41" s="1933">
        <f>AM41*(1+AN40%)</f>
        <v>1</v>
      </c>
      <c r="AO41" s="385">
        <f>1+AO40%</f>
        <v>2.051</v>
      </c>
      <c r="AP41" s="1929">
        <f>AO41*(1+AP40%)</f>
        <v>2.051</v>
      </c>
      <c r="AQ41" s="1929">
        <f>AP41*(1+AQ40%)</f>
        <v>2.051</v>
      </c>
      <c r="AR41" s="1933">
        <f>AQ41*(1+AR40%)</f>
        <v>2.051</v>
      </c>
      <c r="AS41" s="1933">
        <f>AR41*(1+AS40%)</f>
        <v>2.051</v>
      </c>
      <c r="AT41" s="1933">
        <f>AS41*(1+AT40%)</f>
        <v>2.051</v>
      </c>
      <c r="AU41" s="1933">
        <f>AT41*(1+AU40%)</f>
        <v>2.051</v>
      </c>
      <c r="AV41" s="1933">
        <f>AU41*(1+AV40%)</f>
        <v>2.051</v>
      </c>
      <c r="AW41" s="1933">
        <f>AV41*(1+AW40%)</f>
        <v>2.051</v>
      </c>
      <c r="AX41" s="1933">
        <f>AW41*(1+AX40%)</f>
        <v>2.051</v>
      </c>
      <c r="AY41" s="1792"/>
      <c r="AZ41" s="217"/>
      <c r="BA41" s="217"/>
      <c r="BB41" s="1204" t="s">
        <v>1250</v>
      </c>
    </row>
    <row s="1934" customFormat="1" customHeight="1" ht="16.5">
      <c r="A42" s="316"/>
      <c r="B42" s="316"/>
      <c r="C42" s="316"/>
      <c r="D42" s="316"/>
      <c r="E42" s="794">
        <v>17</v>
      </c>
      <c r="F42" s="920" cm="1" t="str">
        <f t="array" ref="F42:F42">F41</f>
        <v>1</v>
      </c>
      <c r="G42" s="736" t="s">
        <v>1251</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618</v>
      </c>
      <c r="AC42" s="160" t="s">
        <v>1252</v>
      </c>
      <c r="AD42" s="322" t="s">
        <v>799</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92"/>
      <c r="AZ42" s="316"/>
      <c r="BA42" s="316"/>
      <c r="BB42" s="1204" t="s">
        <v>1253</v>
      </c>
    </row>
    <row customHeight="1" ht="11.115">
      <c r="E43" s="794">
        <v>11.4</v>
      </c>
      <c r="U43" s="176" t="s">
        <v>237</v>
      </c>
      <c r="V43" s="168" t="s">
        <v>1254</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7" t="s">
        <v>694</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235</v>
      </c>
      <c r="X47" s="1437"/>
      <c r="Y47" s="1437"/>
      <c r="Z47" s="1437"/>
      <c r="AA47" s="915" t="s">
        <v>219</v>
      </c>
      <c r="AB47" s="1938"/>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236</v>
      </c>
      <c r="AA48" s="210"/>
      <c r="AB48" s="1453" t="s">
        <v>695</v>
      </c>
      <c r="AC48" s="1454"/>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89A08-8D78-6D4C-25D8-8822844E9856}"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G71" sqref="AG71"/>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816" t="s">
        <v>92</v>
      </c>
      <c r="AJ1" s="225"/>
      <c r="AK1" s="225"/>
      <c r="AL1" s="225"/>
      <c r="AR1" s="1233" t="s">
        <v>372</v>
      </c>
      <c r="AS1" s="1233" t="s">
        <v>373</v>
      </c>
      <c r="AT1" s="1233" t="s">
        <v>374</v>
      </c>
      <c r="AU1" s="1234" t="s">
        <v>377</v>
      </c>
      <c r="AV1" s="1234" t="s">
        <v>378</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383</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374</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482</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427</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5" t="s">
        <v>385</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1255</v>
      </c>
      <c r="AN24" s="1524" t="s">
        <v>582</v>
      </c>
      <c r="AO24" s="1524" t="s">
        <v>1256</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5"/>
      <c r="AC25" s="1525"/>
      <c r="AD25" s="1525"/>
      <c r="AE25" s="166" t="s">
        <v>401</v>
      </c>
      <c r="AF25" s="1356" t="s">
        <v>583</v>
      </c>
      <c r="AG25" s="166" t="s">
        <v>584</v>
      </c>
      <c r="AH25" s="258" t="s">
        <v>1257</v>
      </c>
      <c r="AI25" s="166" t="s">
        <v>401</v>
      </c>
      <c r="AJ25" s="1355" t="s">
        <v>402</v>
      </c>
      <c r="AK25" s="410" t="s">
        <v>401</v>
      </c>
      <c r="AL25" s="258" t="s">
        <v>1258</v>
      </c>
      <c r="AM25" s="1524"/>
      <c r="AN25" s="1524"/>
      <c r="AO25" s="1524"/>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1259</v>
      </c>
      <c r="T28" s="805" cm="1" t="str">
        <f t="array" ref="T28:T28">T27</f>
        <v>false</v>
      </c>
      <c r="AB28" s="1526" t="s">
        <v>1260</v>
      </c>
      <c r="AC28" s="1527"/>
      <c r="AD28" s="302" t="s">
        <v>799</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1261</v>
      </c>
      <c r="AS28" s="1239"/>
      <c r="AT28" s="1239"/>
      <c r="AU28" s="1240"/>
      <c r="AV28" s="1240"/>
    </row>
    <row customHeight="1" ht="29.25" hidden="1">
      <c r="E29" s="794">
        <v>30</v>
      </c>
      <c r="F29" s="920" cm="1" t="str">
        <f t="array" ref="F29:F29">OFFSET(G29,-1,-1)</f>
        <v>0</v>
      </c>
      <c r="T29" s="805" cm="1" t="str">
        <f t="array" ref="T29:T29">T28</f>
        <v>false</v>
      </c>
      <c r="AB29" s="157">
        <v>1</v>
      </c>
      <c r="AC29" s="165" t="s">
        <v>1262</v>
      </c>
      <c r="AD29" s="555" t="s">
        <v>986</v>
      </c>
      <c r="AE29" s="114"/>
      <c r="AF29" s="114"/>
      <c r="AG29" s="114"/>
      <c r="AH29" s="379">
        <f>AG29-AF29</f>
        <v>0</v>
      </c>
      <c r="AI29" s="114"/>
      <c r="AJ29" s="114"/>
      <c r="AK29" s="114"/>
      <c r="AL29" s="307">
        <f>IF(AI29=0,0,(AK29-AI29)/AI29*100)</f>
        <v>0</v>
      </c>
      <c r="AM29" s="74"/>
      <c r="AN29" s="74"/>
      <c r="AO29" s="74"/>
      <c r="AR29" s="1233" t="s">
        <v>1263</v>
      </c>
    </row>
    <row s="230" customFormat="1" customHeight="1" ht="14.625" hidden="1">
      <c r="E30" s="800">
        <v>15</v>
      </c>
      <c r="F30" s="920" cm="1" t="str">
        <f t="array" ref="F30:F30">OFFSET(G30,-1,-1)</f>
        <v>0</v>
      </c>
      <c r="T30" s="805" cm="1" t="str">
        <f t="array" ref="T30:T30">T29</f>
        <v>false</v>
      </c>
      <c r="AB30" s="157">
        <v>2</v>
      </c>
      <c r="AC30" s="165" t="s">
        <v>1264</v>
      </c>
      <c r="AD30" s="555" t="s">
        <v>986</v>
      </c>
      <c r="AE30" s="114"/>
      <c r="AF30" s="114"/>
      <c r="AG30" s="114"/>
      <c r="AH30" s="307">
        <f>AG30-AF30</f>
        <v>0</v>
      </c>
      <c r="AI30" s="114"/>
      <c r="AJ30" s="114"/>
      <c r="AK30" s="114"/>
      <c r="AL30" s="307">
        <f>IF(AI30=0,0,(AK30-AI30)/AI30*100)</f>
        <v>0</v>
      </c>
      <c r="AM30" s="74"/>
      <c r="AN30" s="74"/>
      <c r="AO30" s="74"/>
      <c r="AR30" s="1233" t="s">
        <v>1265</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986</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1266</v>
      </c>
    </row>
    <row customHeight="1" ht="52.650000000000006" hidden="1">
      <c r="E32" s="794">
        <v>54</v>
      </c>
      <c r="F32" s="920" cm="1" t="str">
        <f t="array" ref="F32:F32">OFFSET(G32,-1,-1)</f>
        <v>0</v>
      </c>
      <c r="T32" s="805" cm="1" t="str">
        <f t="array" ref="T32:T32">T31</f>
        <v>false</v>
      </c>
      <c r="AB32" s="157">
        <v>4</v>
      </c>
      <c r="AC32" s="165" t="s">
        <v>1267</v>
      </c>
      <c r="AD32" s="485" t="s">
        <v>986</v>
      </c>
      <c r="AE32" s="99"/>
      <c r="AF32" s="99"/>
      <c r="AG32" s="99"/>
      <c r="AH32" s="307">
        <f>AG32-AF32</f>
        <v>0</v>
      </c>
      <c r="AI32" s="99"/>
      <c r="AJ32" s="99"/>
      <c r="AK32" s="99"/>
      <c r="AL32" s="307">
        <f>IF(AI32=0,0,(AK32-AI32)/AI32*100)</f>
        <v>0</v>
      </c>
      <c r="AM32" s="74"/>
      <c r="AN32" s="74"/>
      <c r="AO32" s="74"/>
      <c r="AR32" s="1233" t="s">
        <v>1268</v>
      </c>
    </row>
    <row customHeight="1" ht="30.712500000000002" hidden="1">
      <c r="E33" s="794">
        <v>31.5</v>
      </c>
      <c r="F33" s="920" cm="1" t="str">
        <f t="array" ref="F33:F33">OFFSET(G33,-1,-1)</f>
        <v>0</v>
      </c>
      <c r="T33" s="805" cm="1" t="str">
        <f t="array" ref="T33:T33">T32</f>
        <v>false</v>
      </c>
      <c r="AB33" s="157">
        <v>5</v>
      </c>
      <c r="AC33" s="165" t="s">
        <v>1269</v>
      </c>
      <c r="AD33" s="485" t="s">
        <v>986</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1270</v>
      </c>
    </row>
    <row customHeight="1" ht="14.625" hidden="1">
      <c r="E34" s="794">
        <v>15</v>
      </c>
      <c r="F34" s="920" cm="1" t="str">
        <f t="array" ref="F34:F34">OFFSET(G34,-1,-1)</f>
        <v>0</v>
      </c>
      <c r="T34" s="805" cm="1" t="str">
        <f t="array" ref="T34:T34">T33</f>
        <v>false</v>
      </c>
      <c r="AB34" s="157" t="s">
        <v>745</v>
      </c>
      <c r="AC34" s="165" t="s">
        <v>1271</v>
      </c>
      <c r="AD34" s="485" t="s">
        <v>986</v>
      </c>
      <c r="AE34" s="99"/>
      <c r="AF34" s="99"/>
      <c r="AG34" s="99"/>
      <c r="AH34" s="307">
        <f>AG34-AF34</f>
        <v>0</v>
      </c>
      <c r="AI34" s="99"/>
      <c r="AJ34" s="99"/>
      <c r="AK34" s="99"/>
      <c r="AL34" s="307">
        <f>IF(AI34=0,0,(AK34-AI34)/AI34*100)</f>
        <v>0</v>
      </c>
      <c r="AM34" s="74"/>
      <c r="AN34" s="74"/>
      <c r="AO34" s="74"/>
      <c r="AR34" s="1233" t="s">
        <v>1272</v>
      </c>
    </row>
    <row customHeight="1" ht="14.625" hidden="1">
      <c r="E35" s="794">
        <v>15</v>
      </c>
      <c r="F35" s="920" cm="1" t="str">
        <f t="array" ref="F35:F35">OFFSET(G35,-1,-1)</f>
        <v>0</v>
      </c>
      <c r="T35" s="805" cm="1" t="str">
        <f t="array" ref="T35:T35">T34</f>
        <v>false</v>
      </c>
      <c r="AB35" s="157" t="s">
        <v>1273</v>
      </c>
      <c r="AC35" s="165" t="s">
        <v>1274</v>
      </c>
      <c r="AD35" s="485" t="s">
        <v>986</v>
      </c>
      <c r="AE35" s="99"/>
      <c r="AF35" s="99"/>
      <c r="AG35" s="99"/>
      <c r="AH35" s="307">
        <f>AG35-AF35</f>
        <v>0</v>
      </c>
      <c r="AI35" s="99"/>
      <c r="AJ35" s="99"/>
      <c r="AK35" s="99"/>
      <c r="AL35" s="307">
        <f>IF(AI35=0,0,(AK35-AI35)/AI35*100)</f>
        <v>0</v>
      </c>
      <c r="AM35" s="74"/>
      <c r="AN35" s="74"/>
      <c r="AO35" s="74"/>
      <c r="AR35" s="1233" t="s">
        <v>1275</v>
      </c>
    </row>
    <row customHeight="1" ht="14.625" hidden="1">
      <c r="E36" s="794">
        <v>15</v>
      </c>
      <c r="F36" s="920" cm="1" t="str">
        <f t="array" ref="F36:F36">OFFSET(G36,-1,-1)</f>
        <v>0</v>
      </c>
      <c r="T36" s="805" cm="1" t="str">
        <f t="array" ref="T36:T36">T35</f>
        <v>false</v>
      </c>
      <c r="AB36" s="157" t="s">
        <v>1276</v>
      </c>
      <c r="AC36" s="165" t="s">
        <v>1277</v>
      </c>
      <c r="AD36" s="485" t="s">
        <v>986</v>
      </c>
      <c r="AE36" s="99"/>
      <c r="AF36" s="99"/>
      <c r="AG36" s="99"/>
      <c r="AH36" s="307">
        <f>AG36-AF36</f>
        <v>0</v>
      </c>
      <c r="AI36" s="99"/>
      <c r="AJ36" s="99"/>
      <c r="AK36" s="99"/>
      <c r="AL36" s="307">
        <f>IF(AI36=0,0,(AK36-AI36)/AI36*100)</f>
        <v>0</v>
      </c>
      <c r="AM36" s="74"/>
      <c r="AN36" s="74"/>
      <c r="AO36" s="74"/>
      <c r="AR36" s="1233" t="s">
        <v>1278</v>
      </c>
    </row>
    <row customHeight="1" ht="23.400000000000002" hidden="1">
      <c r="E37" s="794">
        <v>24</v>
      </c>
      <c r="F37" s="920" cm="1" t="str">
        <f t="array" ref="F37:F37">OFFSET(G37,-1,-1)</f>
        <v>0</v>
      </c>
      <c r="T37" s="805" cm="1" t="str">
        <f t="array" ref="T37:T37">T36</f>
        <v>false</v>
      </c>
      <c r="AB37" s="157" t="s">
        <v>1279</v>
      </c>
      <c r="AC37" s="165" t="s">
        <v>1280</v>
      </c>
      <c r="AD37" s="485" t="s">
        <v>986</v>
      </c>
      <c r="AE37" s="99"/>
      <c r="AF37" s="99"/>
      <c r="AG37" s="99"/>
      <c r="AH37" s="307">
        <f>AG37-AF37</f>
        <v>0</v>
      </c>
      <c r="AI37" s="99"/>
      <c r="AJ37" s="99"/>
      <c r="AK37" s="99"/>
      <c r="AL37" s="307">
        <f>IF(AI37=0,0,(AK37-AI37)/AI37*100)</f>
        <v>0</v>
      </c>
      <c r="AM37" s="74"/>
      <c r="AN37" s="74"/>
      <c r="AO37" s="74"/>
      <c r="AR37" s="1233" t="s">
        <v>1281</v>
      </c>
    </row>
    <row customHeight="1" ht="14.625" hidden="1">
      <c r="E38" s="794">
        <v>15</v>
      </c>
      <c r="F38" s="920" cm="1" t="str">
        <f t="array" ref="F38:F38">OFFSET(G38,-1,-1)</f>
        <v>0</v>
      </c>
      <c r="T38" s="805" cm="1" t="str">
        <f t="array" ref="T38:T38">T37</f>
        <v>false</v>
      </c>
      <c r="AB38" s="157" t="s">
        <v>1282</v>
      </c>
      <c r="AC38" s="165" t="s">
        <v>1283</v>
      </c>
      <c r="AD38" s="485" t="s">
        <v>986</v>
      </c>
      <c r="AE38" s="99"/>
      <c r="AF38" s="99"/>
      <c r="AG38" s="99"/>
      <c r="AH38" s="307">
        <f>AG38-AF38</f>
        <v>0</v>
      </c>
      <c r="AI38" s="99"/>
      <c r="AJ38" s="99"/>
      <c r="AK38" s="99"/>
      <c r="AL38" s="307">
        <f>IF(AI38=0,0,(AK38-AI38)/AI38*100)</f>
        <v>0</v>
      </c>
      <c r="AM38" s="74"/>
      <c r="AN38" s="74"/>
      <c r="AO38" s="74"/>
      <c r="AR38" s="1233" t="s">
        <v>1284</v>
      </c>
    </row>
    <row s="232" customFormat="1" customHeight="1" ht="14.625" hidden="1">
      <c r="E39" s="794">
        <v>15</v>
      </c>
      <c r="F39" s="920" cm="1" t="str">
        <f t="array" ref="F39:F39">OFFSET(G39,-1,-1)</f>
        <v>0</v>
      </c>
      <c r="T39" s="805" cm="1" t="str">
        <f t="array" ref="T39:T39">T38</f>
        <v>false</v>
      </c>
      <c r="AB39" s="157" t="s">
        <v>626</v>
      </c>
      <c r="AC39" s="165" t="s">
        <v>1285</v>
      </c>
      <c r="AD39" s="485" t="s">
        <v>986</v>
      </c>
      <c r="AE39" s="99"/>
      <c r="AF39" s="99"/>
      <c r="AG39" s="99"/>
      <c r="AH39" s="307">
        <f>AG39-AF39</f>
        <v>0</v>
      </c>
      <c r="AI39" s="99"/>
      <c r="AJ39" s="99"/>
      <c r="AK39" s="99"/>
      <c r="AL39" s="307">
        <f>IF(AI39=0,0,(AK39-AI39)/AI39*100)</f>
        <v>0</v>
      </c>
      <c r="AM39" s="74"/>
      <c r="AN39" s="74"/>
      <c r="AO39" s="74"/>
      <c r="AR39" s="1233" t="s">
        <v>1286</v>
      </c>
      <c r="AS39" s="1241"/>
      <c r="AT39" s="1241"/>
      <c r="AU39" s="1242"/>
      <c r="AV39" s="1242"/>
    </row>
    <row customHeight="1" ht="14.625" hidden="1">
      <c r="E40" s="794">
        <v>15</v>
      </c>
      <c r="F40" s="920" cm="1" t="str">
        <f t="array" ref="F40:F40">OFFSET(G40,-1,-1)</f>
        <v>0</v>
      </c>
      <c r="T40" s="805" cm="1" t="str">
        <f t="array" ref="T40:T40">T39</f>
        <v>false</v>
      </c>
      <c r="AB40" s="157" t="s">
        <v>645</v>
      </c>
      <c r="AC40" s="165" t="s">
        <v>1287</v>
      </c>
      <c r="AD40" s="485" t="s">
        <v>986</v>
      </c>
      <c r="AE40" s="99"/>
      <c r="AF40" s="99"/>
      <c r="AG40" s="99"/>
      <c r="AH40" s="307">
        <f>AG40-AF40</f>
        <v>0</v>
      </c>
      <c r="AI40" s="99"/>
      <c r="AJ40" s="99"/>
      <c r="AK40" s="99"/>
      <c r="AL40" s="307">
        <f>IF(AI40=0,0,(AK40-AI40)/AI40*100)</f>
        <v>0</v>
      </c>
      <c r="AM40" s="74"/>
      <c r="AN40" s="74"/>
      <c r="AO40" s="74"/>
      <c r="AR40" s="1233" t="s">
        <v>1288</v>
      </c>
    </row>
    <row customHeight="1" ht="14.625" hidden="1">
      <c r="E41" s="794">
        <v>15</v>
      </c>
      <c r="F41" s="920" cm="1" t="str">
        <f t="array" ref="F41:F41">OFFSET(G41,-1,-1)</f>
        <v>0</v>
      </c>
      <c r="G41" s="190" t="s">
        <v>1131</v>
      </c>
      <c r="T41" s="805" cm="1" t="str">
        <f t="array" ref="T41:T41">T40</f>
        <v>false</v>
      </c>
      <c r="AB41" s="157" t="s">
        <v>650</v>
      </c>
      <c r="AC41" s="164" t="s">
        <v>1289</v>
      </c>
      <c r="AD41" s="485" t="s">
        <v>986</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1290</v>
      </c>
    </row>
    <row s="232" customFormat="1" customHeight="1" ht="14.625" hidden="1">
      <c r="E42" s="794">
        <v>15</v>
      </c>
      <c r="F42" s="920" cm="1" t="str">
        <f t="array" ref="F42:F42">OFFSET(G42,-1,-1)</f>
        <v>0</v>
      </c>
      <c r="G42" s="190" t="s">
        <v>1118</v>
      </c>
      <c r="T42" s="805" cm="1" t="str">
        <f t="array" ref="T42:T42">T41</f>
        <v>false</v>
      </c>
      <c r="AB42" s="157" t="s">
        <v>658</v>
      </c>
      <c r="AC42" s="164" t="s">
        <v>1291</v>
      </c>
      <c r="AD42" s="485" t="s">
        <v>986</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1121</v>
      </c>
      <c r="AS42" s="1241"/>
      <c r="AT42" s="1241"/>
      <c r="AU42" s="1242"/>
      <c r="AV42" s="1242"/>
    </row>
    <row customHeight="1" ht="29.25" hidden="1">
      <c r="E43" s="794">
        <v>30</v>
      </c>
      <c r="F43" s="920" cm="1" t="str">
        <f t="array" ref="F43:F43">OFFSET(G43,-1,-1)</f>
        <v>0</v>
      </c>
      <c r="T43" s="805" cm="1" t="str">
        <f t="array" ref="T43:T43">T42</f>
        <v>false</v>
      </c>
      <c r="AB43" s="157" t="s">
        <v>682</v>
      </c>
      <c r="AC43" s="165" t="s">
        <v>1292</v>
      </c>
      <c r="AD43" s="485" t="s">
        <v>986</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1233</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235</v>
      </c>
      <c r="Y45" s="172">
        <v>0</v>
      </c>
      <c r="AA45" s="1121" t="s">
        <v>219</v>
      </c>
      <c r="AB45" s="639" t="str">
        <f>"10."&amp;Y45</f>
        <v>10.0</v>
      </c>
      <c r="AC45" s="115"/>
      <c r="AD45" s="496" t="s">
        <v>986</v>
      </c>
      <c r="AE45" s="116"/>
      <c r="AF45" s="116"/>
      <c r="AG45" s="116"/>
      <c r="AH45" s="548">
        <f>AG45-AF45</f>
        <v>0</v>
      </c>
      <c r="AI45" s="116"/>
      <c r="AJ45" s="116"/>
      <c r="AK45" s="116"/>
      <c r="AL45" s="548">
        <f>IF(AI45=0,0,(AK45-AI45)/AI45*100)</f>
        <v>0</v>
      </c>
      <c r="AM45" s="69"/>
      <c r="AN45" s="69"/>
      <c r="AO45" s="69"/>
      <c r="AR45" s="1233" t="s">
        <v>1233</v>
      </c>
      <c r="AS45" s="1233" t="s">
        <v>1163</v>
      </c>
      <c r="AT45" s="1243" cm="1" t="str">
        <f t="array" ref="AT45:AT45">AC45</f>
        <v>0</v>
      </c>
      <c r="AV45" s="1234" t="b">
        <v>1</v>
      </c>
    </row>
    <row customHeight="1" ht="13.747500000000002" hidden="1">
      <c r="E46" s="794">
        <v>14.1</v>
      </c>
      <c r="F46" s="920" cm="1" t="str">
        <f t="array" ref="F46:F46">OFFSET(G46,-1,-1)</f>
        <v>0</v>
      </c>
      <c r="T46" s="805">
        <f>F46&gt;0</f>
        <v>0</v>
      </c>
      <c r="W46" s="371" t="s">
        <v>496</v>
      </c>
      <c r="AB46" s="728"/>
      <c r="AC46" s="732" t="s">
        <v>237</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1163</v>
      </c>
    </row>
    <row customHeight="1" ht="13.747500000000002" hidden="1">
      <c r="E47" s="794">
        <v>14.1</v>
      </c>
      <c r="F47" s="920" cm="1" t="str">
        <f t="array" ref="F47:F47">OFFSET(G47,-1,-1)</f>
        <v>0</v>
      </c>
      <c r="T47" s="805">
        <f>F47&gt;0</f>
        <v>0</v>
      </c>
      <c r="AB47" s="640" t="s">
        <v>690</v>
      </c>
      <c r="AC47" s="726" t="s">
        <v>1293</v>
      </c>
      <c r="AD47" s="555" t="s">
        <v>986</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1294</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235</v>
      </c>
      <c r="Y49" s="172">
        <v>0</v>
      </c>
      <c r="AA49" s="1121" t="s">
        <v>219</v>
      </c>
      <c r="AB49" s="639" t="str">
        <f>"11."&amp;Y49</f>
        <v>11.0</v>
      </c>
      <c r="AC49" s="110"/>
      <c r="AD49" s="170" t="s">
        <v>986</v>
      </c>
      <c r="AE49" s="99"/>
      <c r="AF49" s="99"/>
      <c r="AG49" s="99"/>
      <c r="AH49" s="307">
        <f>AG49-AF49</f>
        <v>0</v>
      </c>
      <c r="AI49" s="99"/>
      <c r="AJ49" s="99"/>
      <c r="AK49" s="99"/>
      <c r="AL49" s="307">
        <f>IF(AI49=0,0,(AK49-AI49)/AI49*100)</f>
        <v>0</v>
      </c>
      <c r="AM49" s="74"/>
      <c r="AN49" s="74"/>
      <c r="AO49" s="74"/>
      <c r="AR49" s="1233" t="s">
        <v>1294</v>
      </c>
      <c r="AS49" s="1233" t="s">
        <v>1295</v>
      </c>
      <c r="AT49" s="1243" cm="1" t="str">
        <f t="array" ref="AT49:AT49">AC49</f>
        <v>0</v>
      </c>
      <c r="AV49" s="1234" t="b">
        <v>1</v>
      </c>
    </row>
    <row customHeight="1" ht="13.747500000000002" hidden="1">
      <c r="E50" s="794">
        <v>14.1</v>
      </c>
      <c r="F50" s="920" cm="1" t="str">
        <f t="array" ref="F50:F50">OFFSET(G50,-1,-1)</f>
        <v>0</v>
      </c>
      <c r="T50" s="805">
        <f>F50&gt;0</f>
        <v>0</v>
      </c>
      <c r="W50" s="371" t="s">
        <v>1296</v>
      </c>
      <c r="AB50" s="728"/>
      <c r="AC50" s="732" t="s">
        <v>237</v>
      </c>
      <c r="AD50" s="729"/>
      <c r="AE50" s="731"/>
      <c r="AF50" s="731"/>
      <c r="AG50" s="731"/>
      <c r="AH50" s="731"/>
      <c r="AI50" s="731"/>
      <c r="AJ50" s="731"/>
      <c r="AK50" s="731"/>
      <c r="AL50" s="731"/>
      <c r="AM50" s="731"/>
      <c r="AN50" s="731"/>
      <c r="AO50" s="731"/>
      <c r="AU50" s="1234" t="s">
        <v>1295</v>
      </c>
    </row>
    <row s="1922"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337</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45" customFormat="1" customHeight="1" ht="13.5">
      <c r="A52" s="231"/>
      <c r="B52" s="231"/>
      <c r="C52" s="231"/>
      <c r="D52" s="231"/>
      <c r="E52" s="800">
        <v>14.1</v>
      </c>
      <c r="F52" s="920" cm="1" t="str">
        <f t="array" ref="F52:F52">OFFSET(G52,-1,-1)</f>
        <v>1</v>
      </c>
      <c r="G52" s="930" t="s">
        <v>1259</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6" t="s">
        <v>1260</v>
      </c>
      <c r="AC52" s="1527"/>
      <c r="AD52" s="302" t="s">
        <v>799</v>
      </c>
      <c r="AE52" s="1946">
        <f>SUM(AE53:AE57)+SUM(AE63:AE67)+AE72</f>
        <v>31502.08</v>
      </c>
      <c r="AF52" s="1946">
        <f>SUM(AF53:AF57)+SUM(AF63:AF67)+AF72</f>
        <v>31818.23</v>
      </c>
      <c r="AG52" s="1946">
        <f>SUM(AG53:AG57)+SUM(AG63:AG67)+AG72</f>
        <v>34176.33882432</v>
      </c>
      <c r="AH52" s="1946">
        <f>AG52-AF52</f>
        <v>2358.10882432</v>
      </c>
      <c r="AI52" s="1946">
        <f>SUM(AI53:AI57)+SUM(AI63:AI67)+AI72</f>
        <v>33329.20292</v>
      </c>
      <c r="AJ52" s="1946">
        <f>SUM(AJ53:AJ57)+SUM(AJ63:AJ67)+AJ72</f>
        <v>0</v>
      </c>
      <c r="AK52" s="1946">
        <f>SUM(AK53:AK57)+SUM(AK63:AK67)+AK72</f>
        <v>0</v>
      </c>
      <c r="AL52" s="306">
        <f>IF(AI52=0,0,(AK52-AI52)/AI52*100)</f>
        <v>-100</v>
      </c>
      <c r="AM52" s="1792"/>
      <c r="AN52" s="1792"/>
      <c r="AO52" s="1792"/>
      <c r="AP52" s="231"/>
      <c r="AQ52" s="231"/>
      <c r="AR52" s="1233" t="s">
        <v>1261</v>
      </c>
      <c r="AS52" s="1239"/>
      <c r="AT52" s="1239"/>
      <c r="AU52" s="1240"/>
      <c r="AV52" s="1240"/>
    </row>
    <row s="1642"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1262</v>
      </c>
      <c r="AD53" s="555" t="s">
        <v>986</v>
      </c>
      <c r="AE53" s="1947">
        <v>6489.66</v>
      </c>
      <c r="AF53" s="1947">
        <v>3888.39</v>
      </c>
      <c r="AG53" s="1947">
        <f>AE53*1.0848915</f>
        <v>7040.57697189</v>
      </c>
      <c r="AH53" s="379">
        <f>AG53-AF53</f>
        <v>3152.18697189</v>
      </c>
      <c r="AI53" s="1947">
        <f>AE53*1.058</f>
        <v>6866.06028</v>
      </c>
      <c r="AJ53" s="1947"/>
      <c r="AK53" s="1947"/>
      <c r="AL53" s="307">
        <f>IF(AI53=0,0,(AK53-AI53)/AI53*100)</f>
        <v>-100</v>
      </c>
      <c r="AM53" s="1792"/>
      <c r="AN53" s="1792"/>
      <c r="AO53" s="1792"/>
      <c r="AP53" s="227"/>
      <c r="AQ53" s="227"/>
      <c r="AR53" s="1233" t="s">
        <v>1263</v>
      </c>
      <c r="AS53" s="1233"/>
      <c r="AT53" s="1233"/>
      <c r="AU53" s="1234"/>
      <c r="AV53" s="1234"/>
    </row>
    <row s="1948"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1264</v>
      </c>
      <c r="AD54" s="555" t="s">
        <v>986</v>
      </c>
      <c r="AE54" s="1947">
        <v>919.94</v>
      </c>
      <c r="AF54" s="1947">
        <v>1270.15</v>
      </c>
      <c r="AG54" s="1947">
        <f>AE54*1.0848915</f>
        <v>998.03508651</v>
      </c>
      <c r="AH54" s="307">
        <f>AG54-AF54</f>
        <v>-272.11491349</v>
      </c>
      <c r="AI54" s="1947">
        <f>AE54*1.058</f>
        <v>973.29652</v>
      </c>
      <c r="AJ54" s="1947"/>
      <c r="AK54" s="1947"/>
      <c r="AL54" s="307">
        <f>IF(AI54=0,0,(AK54-AI54)/AI54*100)</f>
        <v>-100</v>
      </c>
      <c r="AM54" s="1792"/>
      <c r="AN54" s="1792"/>
      <c r="AO54" s="1792"/>
      <c r="AP54" s="230"/>
      <c r="AQ54" s="230"/>
      <c r="AR54" s="1233" t="s">
        <v>1265</v>
      </c>
      <c r="AS54" s="1239"/>
      <c r="AT54" s="1239"/>
      <c r="AU54" s="1240"/>
      <c r="AV54" s="1240"/>
    </row>
    <row s="1642"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986</v>
      </c>
      <c r="AE55" s="1860">
        <v>17766.34</v>
      </c>
      <c r="AF55" s="1860">
        <v>16251.76</v>
      </c>
      <c r="AG55" s="1860">
        <f>AE55*1.0848915</f>
        <v>19274.55125211</v>
      </c>
      <c r="AH55" s="307">
        <f>AG55-AF55</f>
        <v>3022.79125211</v>
      </c>
      <c r="AI55" s="1860">
        <v>18796.79</v>
      </c>
      <c r="AJ55" s="307">
        <f>_xlfn.SUMIFS(ФОТ!AI$26:AI$77,ФОТ!$F$26:$F$77,$F55,ФОТ!$G$26:$G$77,$G55)</f>
        <v>0</v>
      </c>
      <c r="AK55" s="307">
        <f>_xlfn.SUMIFS(ФОТ!AJ$26:AJ$77,ФОТ!$F$26:$F$77,$F55,ФОТ!$G$26:$G$77,$G55)</f>
        <v>0</v>
      </c>
      <c r="AL55" s="307">
        <f>IF(AI55=0,0,(AK55-AI55)/AI55*100)</f>
        <v>-100</v>
      </c>
      <c r="AM55" s="1792"/>
      <c r="AN55" s="1792"/>
      <c r="AO55" s="1792"/>
      <c r="AP55" s="227"/>
      <c r="AQ55" s="227"/>
      <c r="AR55" s="1233" t="s">
        <v>1266</v>
      </c>
      <c r="AS55" s="1233"/>
      <c r="AT55" s="1233"/>
      <c r="AU55" s="1234"/>
      <c r="AV55" s="1234"/>
    </row>
    <row s="1642"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1267</v>
      </c>
      <c r="AD56" s="485" t="s">
        <v>986</v>
      </c>
      <c r="AE56" s="1860">
        <v>5629.08</v>
      </c>
      <c r="AF56" s="1860">
        <v>9326.42</v>
      </c>
      <c r="AG56" s="1860">
        <f>AE56*1.0848915</f>
        <v>6106.94104482</v>
      </c>
      <c r="AH56" s="307">
        <f>AG56-AF56</f>
        <v>-3219.47895518</v>
      </c>
      <c r="AI56" s="1860">
        <f>AE56*1.058</f>
        <v>5955.56664</v>
      </c>
      <c r="AJ56" s="1860"/>
      <c r="AK56" s="1860"/>
      <c r="AL56" s="307">
        <f>IF(AI56=0,0,(AK56-AI56)/AI56*100)</f>
        <v>-100</v>
      </c>
      <c r="AM56" s="1792"/>
      <c r="AN56" s="1792"/>
      <c r="AO56" s="1792"/>
      <c r="AP56" s="227"/>
      <c r="AQ56" s="227"/>
      <c r="AR56" s="1233" t="s">
        <v>1268</v>
      </c>
      <c r="AS56" s="1233"/>
      <c r="AT56" s="1233"/>
      <c r="AU56" s="1234"/>
      <c r="AV56" s="1234"/>
    </row>
    <row s="1642"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1269</v>
      </c>
      <c r="AD57" s="485" t="s">
        <v>986</v>
      </c>
      <c r="AE57" s="307">
        <f>SUM(AE58:AE62)</f>
        <v>0</v>
      </c>
      <c r="AF57" s="307">
        <f>SUM(AF58:AF62)</f>
        <v>0</v>
      </c>
      <c r="AG57" s="1860">
        <f>SUM(AG58:AG62)</f>
        <v>0</v>
      </c>
      <c r="AH57" s="307">
        <f>AG57-AF57</f>
        <v>0</v>
      </c>
      <c r="AI57" s="307">
        <f>SUM(AI58:AI62)</f>
        <v>0</v>
      </c>
      <c r="AJ57" s="307">
        <f>SUM(AJ58:AJ62)</f>
        <v>0</v>
      </c>
      <c r="AK57" s="307">
        <f>SUM(AK58:AK62)</f>
        <v>0</v>
      </c>
      <c r="AL57" s="307">
        <f>IF(AI57=0,0,(AK57-AI57)/AI57*100)</f>
        <v>0</v>
      </c>
      <c r="AM57" s="1792"/>
      <c r="AN57" s="1792"/>
      <c r="AO57" s="1792"/>
      <c r="AP57" s="227"/>
      <c r="AQ57" s="227"/>
      <c r="AR57" s="1233" t="s">
        <v>1270</v>
      </c>
      <c r="AS57" s="1233"/>
      <c r="AT57" s="1233"/>
      <c r="AU57" s="1234"/>
      <c r="AV57" s="1234"/>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745</v>
      </c>
      <c r="AC58" s="165" t="s">
        <v>1271</v>
      </c>
      <c r="AD58" s="485" t="s">
        <v>986</v>
      </c>
      <c r="AE58" s="1860"/>
      <c r="AF58" s="1860"/>
      <c r="AG58" s="1860"/>
      <c r="AH58" s="307">
        <f>AG58-AF58</f>
        <v>0</v>
      </c>
      <c r="AI58" s="1860"/>
      <c r="AJ58" s="1860"/>
      <c r="AK58" s="1860"/>
      <c r="AL58" s="307">
        <f>IF(AI58=0,0,(AK58-AI58)/AI58*100)</f>
        <v>0</v>
      </c>
      <c r="AM58" s="1792"/>
      <c r="AN58" s="1792"/>
      <c r="AO58" s="1792"/>
      <c r="AP58" s="227"/>
      <c r="AQ58" s="227"/>
      <c r="AR58" s="1233" t="s">
        <v>1272</v>
      </c>
      <c r="AS58" s="1233"/>
      <c r="AT58" s="1233"/>
      <c r="AU58" s="1234"/>
      <c r="AV58" s="1234"/>
    </row>
    <row s="1642"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1273</v>
      </c>
      <c r="AC59" s="165" t="s">
        <v>1274</v>
      </c>
      <c r="AD59" s="485" t="s">
        <v>986</v>
      </c>
      <c r="AE59" s="1860"/>
      <c r="AF59" s="1860"/>
      <c r="AG59" s="1860"/>
      <c r="AH59" s="307">
        <f>AG59-AF59</f>
        <v>0</v>
      </c>
      <c r="AI59" s="1860"/>
      <c r="AJ59" s="1860"/>
      <c r="AK59" s="1860"/>
      <c r="AL59" s="307">
        <f>IF(AI59=0,0,(AK59-AI59)/AI59*100)</f>
        <v>0</v>
      </c>
      <c r="AM59" s="1792"/>
      <c r="AN59" s="1792"/>
      <c r="AO59" s="1792"/>
      <c r="AP59" s="227"/>
      <c r="AQ59" s="227"/>
      <c r="AR59" s="1233" t="s">
        <v>1275</v>
      </c>
      <c r="AS59" s="1233"/>
      <c r="AT59" s="1233"/>
      <c r="AU59" s="1234"/>
      <c r="AV59" s="1234"/>
    </row>
    <row s="1642"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1276</v>
      </c>
      <c r="AC60" s="165" t="s">
        <v>1277</v>
      </c>
      <c r="AD60" s="485" t="s">
        <v>986</v>
      </c>
      <c r="AE60" s="1860"/>
      <c r="AF60" s="1860"/>
      <c r="AG60" s="1860"/>
      <c r="AH60" s="307">
        <f>AG60-AF60</f>
        <v>0</v>
      </c>
      <c r="AI60" s="1860"/>
      <c r="AJ60" s="1860"/>
      <c r="AK60" s="1860"/>
      <c r="AL60" s="307">
        <f>IF(AI60=0,0,(AK60-AI60)/AI60*100)</f>
        <v>0</v>
      </c>
      <c r="AM60" s="1792"/>
      <c r="AN60" s="1792"/>
      <c r="AO60" s="1792"/>
      <c r="AP60" s="227"/>
      <c r="AQ60" s="227"/>
      <c r="AR60" s="1233" t="s">
        <v>1278</v>
      </c>
      <c r="AS60" s="1233"/>
      <c r="AT60" s="1233"/>
      <c r="AU60" s="1234"/>
      <c r="AV60" s="1234"/>
    </row>
    <row s="1642"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1279</v>
      </c>
      <c r="AC61" s="165" t="s">
        <v>1280</v>
      </c>
      <c r="AD61" s="485" t="s">
        <v>986</v>
      </c>
      <c r="AE61" s="1860"/>
      <c r="AF61" s="1860"/>
      <c r="AG61" s="1860"/>
      <c r="AH61" s="307">
        <f>AG61-AF61</f>
        <v>0</v>
      </c>
      <c r="AI61" s="1860"/>
      <c r="AJ61" s="1860"/>
      <c r="AK61" s="1860"/>
      <c r="AL61" s="307">
        <f>IF(AI61=0,0,(AK61-AI61)/AI61*100)</f>
        <v>0</v>
      </c>
      <c r="AM61" s="1792"/>
      <c r="AN61" s="1792"/>
      <c r="AO61" s="1792"/>
      <c r="AP61" s="227"/>
      <c r="AQ61" s="227"/>
      <c r="AR61" s="1233" t="s">
        <v>1281</v>
      </c>
      <c r="AS61" s="1233"/>
      <c r="AT61" s="1233"/>
      <c r="AU61" s="1234"/>
      <c r="AV61" s="1234"/>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1282</v>
      </c>
      <c r="AC62" s="165" t="s">
        <v>1283</v>
      </c>
      <c r="AD62" s="485" t="s">
        <v>986</v>
      </c>
      <c r="AE62" s="1860"/>
      <c r="AF62" s="1860"/>
      <c r="AG62" s="1860"/>
      <c r="AH62" s="307">
        <f>AG62-AF62</f>
        <v>0</v>
      </c>
      <c r="AI62" s="1860"/>
      <c r="AJ62" s="1860"/>
      <c r="AK62" s="1860"/>
      <c r="AL62" s="307">
        <f>IF(AI62=0,0,(AK62-AI62)/AI62*100)</f>
        <v>0</v>
      </c>
      <c r="AM62" s="1792"/>
      <c r="AN62" s="1792"/>
      <c r="AO62" s="1792"/>
      <c r="AP62" s="227"/>
      <c r="AQ62" s="227"/>
      <c r="AR62" s="1233" t="s">
        <v>1284</v>
      </c>
      <c r="AS62" s="1233"/>
      <c r="AT62" s="1233"/>
      <c r="AU62" s="1234"/>
      <c r="AV62" s="1234"/>
    </row>
    <row s="1949"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626</v>
      </c>
      <c r="AC63" s="165" t="s">
        <v>1285</v>
      </c>
      <c r="AD63" s="485" t="s">
        <v>986</v>
      </c>
      <c r="AE63" s="1860"/>
      <c r="AF63" s="1860"/>
      <c r="AG63" s="1860"/>
      <c r="AH63" s="307">
        <f>AG63-AF63</f>
        <v>0</v>
      </c>
      <c r="AI63" s="1860"/>
      <c r="AJ63" s="1860"/>
      <c r="AK63" s="1860"/>
      <c r="AL63" s="307">
        <f>IF(AI63=0,0,(AK63-AI63)/AI63*100)</f>
        <v>0</v>
      </c>
      <c r="AM63" s="1792"/>
      <c r="AN63" s="1792"/>
      <c r="AO63" s="1792"/>
      <c r="AP63" s="232"/>
      <c r="AQ63" s="232"/>
      <c r="AR63" s="1233" t="s">
        <v>1286</v>
      </c>
      <c r="AS63" s="1241"/>
      <c r="AT63" s="1241"/>
      <c r="AU63" s="1242"/>
      <c r="AV63" s="1242"/>
    </row>
    <row s="1642"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645</v>
      </c>
      <c r="AC64" s="165" t="s">
        <v>1287</v>
      </c>
      <c r="AD64" s="485" t="s">
        <v>986</v>
      </c>
      <c r="AE64" s="1860">
        <v>65.11</v>
      </c>
      <c r="AF64" s="1860">
        <v>41.52</v>
      </c>
      <c r="AG64" s="1860">
        <f>AE64*1.0848915</f>
        <v>70.637285565</v>
      </c>
      <c r="AH64" s="307">
        <f>AG64-AF64</f>
        <v>29.117285565</v>
      </c>
      <c r="AI64" s="1860">
        <f>AE64*1.058</f>
        <v>68.88638</v>
      </c>
      <c r="AJ64" s="1860"/>
      <c r="AK64" s="1860"/>
      <c r="AL64" s="307">
        <f>IF(AI64=0,0,(AK64-AI64)/AI64*100)</f>
        <v>-100</v>
      </c>
      <c r="AM64" s="1792"/>
      <c r="AN64" s="1792"/>
      <c r="AO64" s="1792"/>
      <c r="AP64" s="227"/>
      <c r="AQ64" s="227"/>
      <c r="AR64" s="1233" t="s">
        <v>1288</v>
      </c>
      <c r="AS64" s="1233"/>
      <c r="AT64" s="1233"/>
      <c r="AU64" s="1234"/>
      <c r="AV64" s="1234"/>
    </row>
    <row s="1642" customFormat="1" customHeight="1" ht="14.25">
      <c r="A65" s="225"/>
      <c r="B65" s="925"/>
      <c r="C65" s="225"/>
      <c r="D65" s="225"/>
      <c r="E65" s="794">
        <v>15</v>
      </c>
      <c r="F65" s="920" cm="1" t="str">
        <f t="array" ref="F65:F65">OFFSET(G65,-1,-1)</f>
        <v>1</v>
      </c>
      <c r="G65" s="190" t="s">
        <v>1131</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650</v>
      </c>
      <c r="AC65" s="164" t="s">
        <v>1289</v>
      </c>
      <c r="AD65" s="485" t="s">
        <v>986</v>
      </c>
      <c r="AE65" s="307">
        <f>_xlfn.SUMIFS(Аренда!AE$26:AE$51,Аренда!$F$26:$F$51,$F65,Аренда!$G$26:$G$51,$G65)</f>
        <v>0</v>
      </c>
      <c r="AF65" s="307">
        <f>_xlfn.SUMIFS(Аренда!AF$26:AF$51,Аренда!$F$26:$F$51,$F65,Аренда!$G$26:$G$51,$G65)</f>
        <v>0</v>
      </c>
      <c r="AG65" s="1860">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92"/>
      <c r="AN65" s="1792"/>
      <c r="AO65" s="1792"/>
      <c r="AP65" s="227"/>
      <c r="AQ65" s="227"/>
      <c r="AR65" s="1233" t="s">
        <v>1290</v>
      </c>
      <c r="AS65" s="1233"/>
      <c r="AT65" s="1233"/>
      <c r="AU65" s="1234"/>
      <c r="AV65" s="1234"/>
    </row>
    <row s="1950" customFormat="1" customHeight="1" ht="14.25">
      <c r="A66" s="232"/>
      <c r="B66" s="232"/>
      <c r="C66" s="232"/>
      <c r="D66" s="232"/>
      <c r="E66" s="794">
        <v>15</v>
      </c>
      <c r="F66" s="920" cm="1" t="str">
        <f t="array" ref="F66:F66">OFFSET(G66,-1,-1)</f>
        <v>1</v>
      </c>
      <c r="G66" s="190" t="s">
        <v>1118</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658</v>
      </c>
      <c r="AC66" s="164" t="s">
        <v>1291</v>
      </c>
      <c r="AD66" s="485" t="s">
        <v>986</v>
      </c>
      <c r="AE66" s="307">
        <f>_xlfn.SUMIFS(Аренда!AE$26:AE$51,Аренда!$F$26:$F$51,$F66,Аренда!$G$26:$G$51,$G66)</f>
        <v>0</v>
      </c>
      <c r="AF66" s="307">
        <f>_xlfn.SUMIFS(Аренда!AF$26:AF$51,Аренда!$F$26:$F$51,$F66,Аренда!$G$26:$G$51,$G66)</f>
        <v>0</v>
      </c>
      <c r="AG66" s="1860">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92"/>
      <c r="AN66" s="1792"/>
      <c r="AO66" s="1792"/>
      <c r="AP66" s="232"/>
      <c r="AQ66" s="232"/>
      <c r="AR66" s="1233" t="s">
        <v>1121</v>
      </c>
      <c r="AS66" s="1241"/>
      <c r="AT66" s="1241"/>
      <c r="AU66" s="1242"/>
      <c r="AV66" s="1242"/>
    </row>
    <row s="1642"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682</v>
      </c>
      <c r="AC67" s="165" t="s">
        <v>1292</v>
      </c>
      <c r="AD67" s="485" t="s">
        <v>986</v>
      </c>
      <c r="AE67" s="307">
        <f>SUM(AE68:AE71)</f>
        <v>631.95</v>
      </c>
      <c r="AF67" s="307">
        <f>SUM(AF68:AF71)</f>
        <v>1039.99</v>
      </c>
      <c r="AG67" s="1860">
        <f>SUM(AG68:AG71)</f>
        <v>685.597183425</v>
      </c>
      <c r="AH67" s="307">
        <f>AG67-AF67</f>
        <v>-354.392816575</v>
      </c>
      <c r="AI67" s="307">
        <f>SUM(AI68:AI71)</f>
        <v>668.6031</v>
      </c>
      <c r="AJ67" s="307">
        <f>SUM(AJ68:AJ71)</f>
        <v>0</v>
      </c>
      <c r="AK67" s="307">
        <f>SUM(AK68:AK71)</f>
        <v>0</v>
      </c>
      <c r="AL67" s="307">
        <f>IF(AI67=0,0,(AK67-AI67)/AI67*100)</f>
        <v>-100</v>
      </c>
      <c r="AM67" s="1792"/>
      <c r="AN67" s="1792"/>
      <c r="AO67" s="1792"/>
      <c r="AP67" s="227"/>
      <c r="AQ67" s="227"/>
      <c r="AR67" s="1233" t="s">
        <v>1233</v>
      </c>
      <c r="AS67" s="1233"/>
      <c r="AT67" s="1233"/>
      <c r="AU67" s="1234"/>
      <c r="AV67" s="1234"/>
    </row>
    <row s="1642"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42" customFormat="1" customHeight="1" ht="14.25" hidden="1">
      <c r="E69" s="794">
        <v>15</v>
      </c>
      <c r="F69" s="920" cm="1" t="str">
        <f t="array" ref="F69:F69">OFFSET(G69,-1,-1)</f>
        <v>1</v>
      </c>
      <c r="T69" s="805">
        <f>AND(F69&gt;0,Y69&gt;0)</f>
        <v>0</v>
      </c>
      <c r="W69" s="172" t="s">
        <v>235</v>
      </c>
      <c r="Y69" s="172">
        <v>0</v>
      </c>
      <c r="AA69" s="1121" t="s">
        <v>219</v>
      </c>
      <c r="AB69" s="639" t="str">
        <f>"10."&amp;Y69</f>
        <v>10.0</v>
      </c>
      <c r="AC69" s="115"/>
      <c r="AD69" s="496" t="s">
        <v>986</v>
      </c>
      <c r="AE69" s="116"/>
      <c r="AF69" s="116"/>
      <c r="AG69" s="116"/>
      <c r="AH69" s="548">
        <f>AG69-AF69</f>
        <v>0</v>
      </c>
      <c r="AI69" s="116"/>
      <c r="AJ69" s="116"/>
      <c r="AK69" s="116"/>
      <c r="AL69" s="548">
        <f>IF(AI69=0,0,(AK69-AI69)/AI69*100)</f>
        <v>0</v>
      </c>
      <c r="AM69" s="69"/>
      <c r="AN69" s="69"/>
      <c r="AO69" s="69"/>
      <c r="AR69" s="1233" t="s">
        <v>1233</v>
      </c>
      <c r="AS69" s="1233" t="s">
        <v>1163</v>
      </c>
      <c r="AT69" s="1243" cm="1" t="str">
        <f t="array" ref="AT69:AT69">AC69</f>
        <v>0</v>
      </c>
      <c r="AU69" s="1234"/>
      <c r="AV69" s="1234" t="b">
        <v>1</v>
      </c>
    </row>
    <row s="1642" customFormat="1" customHeight="1" ht="14.25">
      <c r="A70" s="1642"/>
      <c r="B70" s="1642"/>
      <c r="C70" s="1642"/>
      <c r="D70" s="1642"/>
      <c r="E70" s="794">
        <v>15</v>
      </c>
      <c r="F70" s="920" cm="1" t="str">
        <f t="array" ref="F70:F70">OFFSET(G70,-1,-1)</f>
        <v>1</v>
      </c>
      <c r="G70" s="1642"/>
      <c r="H70" s="1642"/>
      <c r="I70" s="1642"/>
      <c r="J70" s="1642"/>
      <c r="K70" s="1642"/>
      <c r="L70" s="1642"/>
      <c r="M70" s="1642"/>
      <c r="N70" s="1642"/>
      <c r="O70" s="1642"/>
      <c r="P70" s="1642"/>
      <c r="Q70" s="1642"/>
      <c r="R70" s="1642"/>
      <c r="S70" s="1642"/>
      <c r="T70" s="805">
        <f>AND(F70&gt;0,Y70&gt;0)</f>
        <v>1</v>
      </c>
      <c r="U70" s="1642"/>
      <c r="V70" s="1642"/>
      <c r="W70" s="172"/>
      <c r="X70" s="1642"/>
      <c r="Y70" s="172" t="s">
        <v>337</v>
      </c>
      <c r="Z70" s="1642"/>
      <c r="AA70" s="1121" t="s">
        <v>219</v>
      </c>
      <c r="AB70" s="639" t="str">
        <f>"10."&amp;Y70</f>
        <v>10.1</v>
      </c>
      <c r="AC70" s="1951" t="s">
        <v>1297</v>
      </c>
      <c r="AD70" s="496" t="s">
        <v>986</v>
      </c>
      <c r="AE70" s="1952">
        <v>631.95</v>
      </c>
      <c r="AF70" s="1952">
        <v>1039.99</v>
      </c>
      <c r="AG70" s="1952">
        <f>AE70*1.0848915</f>
        <v>685.597183425</v>
      </c>
      <c r="AH70" s="548">
        <f>AG70-AF70</f>
        <v>-354.392816575</v>
      </c>
      <c r="AI70" s="1952">
        <f>AE70*1.058</f>
        <v>668.6031</v>
      </c>
      <c r="AJ70" s="1952"/>
      <c r="AK70" s="1952"/>
      <c r="AL70" s="548">
        <f>IF(AI70=0,0,(AK70-AI70)/AI70*100)</f>
        <v>-100</v>
      </c>
      <c r="AM70" s="1953"/>
      <c r="AN70" s="1953"/>
      <c r="AO70" s="1953"/>
      <c r="AP70" s="1642"/>
      <c r="AQ70" s="1642"/>
      <c r="AR70" s="1233" t="s">
        <v>1233</v>
      </c>
      <c r="AS70" s="1233" t="s">
        <v>1163</v>
      </c>
      <c r="AT70" s="1243" cm="1" t="str">
        <f t="array" ref="AT70:AT70">AC70</f>
        <v>Оплата иных работ и услуг</v>
      </c>
      <c r="AU70" s="1234"/>
      <c r="AV70" s="1234" t="b">
        <v>1</v>
      </c>
    </row>
    <row s="1642"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371" t="s">
        <v>496</v>
      </c>
      <c r="X71" s="1437"/>
      <c r="Y71" s="1437"/>
      <c r="Z71" s="1437"/>
      <c r="AA71" s="227"/>
      <c r="AB71" s="728"/>
      <c r="AC71" s="732" t="s">
        <v>237</v>
      </c>
      <c r="AD71" s="729"/>
      <c r="AE71" s="730"/>
      <c r="AF71" s="730"/>
      <c r="AG71" s="730"/>
      <c r="AH71" s="730"/>
      <c r="AI71" s="730"/>
      <c r="AJ71" s="730"/>
      <c r="AK71" s="730"/>
      <c r="AL71" s="730"/>
      <c r="AM71" s="1101"/>
      <c r="AN71" s="1101"/>
      <c r="AO71" s="1102"/>
      <c r="AP71" s="227"/>
      <c r="AQ71" s="227"/>
      <c r="AR71" s="1233" t="str">
        <f>IF(AND(ISNUMBER(VALUE(TRIM(SUBSTITUTE(AB71,".","")))),TRIM(SUBSTITUTE(AB71,".",""))&lt;&gt;""),"P"&amp;SUBSTITUTE(AB71,".",""),"")</f>
        <v/>
      </c>
      <c r="AS71" s="1233"/>
      <c r="AT71" s="1233"/>
      <c r="AU71" s="1234" t="s">
        <v>1163</v>
      </c>
      <c r="AV71" s="1234"/>
    </row>
    <row s="1642" customFormat="1" customHeight="1" ht="13.5">
      <c r="A72" s="225"/>
      <c r="B72" s="925"/>
      <c r="C72" s="225"/>
      <c r="D72" s="225"/>
      <c r="E72" s="794">
        <v>14.1</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40" t="s">
        <v>690</v>
      </c>
      <c r="AC72" s="726" t="s">
        <v>1293</v>
      </c>
      <c r="AD72" s="555" t="s">
        <v>986</v>
      </c>
      <c r="AE72" s="642">
        <f>SUM(AE73:AE75)</f>
        <v>0</v>
      </c>
      <c r="AF72" s="642">
        <f>SUM(AF73:AF75)</f>
        <v>0</v>
      </c>
      <c r="AG72" s="1954">
        <f>SUM(AG73:AG75)</f>
        <v>0</v>
      </c>
      <c r="AH72" s="642">
        <f>AG72-AF72</f>
        <v>0</v>
      </c>
      <c r="AI72" s="642">
        <f>SUM(AI73:AI75)</f>
        <v>0</v>
      </c>
      <c r="AJ72" s="642">
        <f>SUM(AJ73:AJ75)</f>
        <v>0</v>
      </c>
      <c r="AK72" s="642">
        <f>SUM(AK73:AK75)</f>
        <v>0</v>
      </c>
      <c r="AL72" s="642">
        <f>IF(AI72=0,0,(AK72-AI72)/AI72*100)</f>
        <v>0</v>
      </c>
      <c r="AM72" s="1828"/>
      <c r="AN72" s="1828"/>
      <c r="AO72" s="1828"/>
      <c r="AP72" s="227"/>
      <c r="AQ72" s="227"/>
      <c r="AR72" s="1233" t="s">
        <v>1294</v>
      </c>
      <c r="AS72" s="1233"/>
      <c r="AT72" s="1233"/>
      <c r="AU72" s="1234"/>
      <c r="AV72" s="1234"/>
    </row>
    <row s="1642" customFormat="1" customHeight="1" ht="11.25" hidden="1">
      <c r="A73" s="225"/>
      <c r="B73" s="925"/>
      <c r="C73" s="225"/>
      <c r="D73" s="225"/>
      <c r="E73" s="794">
        <v>0</v>
      </c>
      <c r="F73" s="920" cm="1" t="str">
        <f t="array" ref="F73:F73">OFFSET(G73,-1,-1)</f>
        <v>1</v>
      </c>
      <c r="G73" s="227"/>
      <c r="H73" s="227"/>
      <c r="I73" s="227"/>
      <c r="J73" s="227"/>
      <c r="K73" s="227"/>
      <c r="L73" s="227"/>
      <c r="M73" s="227"/>
      <c r="N73" s="227"/>
      <c r="O73" s="227"/>
      <c r="P73" s="227"/>
      <c r="Q73" s="190"/>
      <c r="R73" s="190"/>
      <c r="S73" s="227"/>
      <c r="T73" s="805">
        <f>F73&gt;0</f>
        <v>1</v>
      </c>
      <c r="U73" s="1437"/>
      <c r="V73" s="1437"/>
      <c r="W73" s="1437"/>
      <c r="X73" s="1437"/>
      <c r="Y73" s="1437"/>
      <c r="Z73" s="1437"/>
      <c r="AA73" s="227"/>
      <c r="AB73" s="639"/>
      <c r="AC73" s="669"/>
      <c r="AD73" s="670"/>
      <c r="AE73" s="485"/>
      <c r="AF73" s="485"/>
      <c r="AG73" s="485"/>
      <c r="AH73" s="227"/>
      <c r="AI73" s="485"/>
      <c r="AJ73" s="485"/>
      <c r="AK73" s="485"/>
      <c r="AL73" s="227"/>
      <c r="AM73" s="227"/>
      <c r="AN73" s="227"/>
      <c r="AO73" s="227"/>
      <c r="AP73" s="227"/>
      <c r="AQ73" s="227"/>
      <c r="AR73" s="1233" t="str">
        <f>IF(AND(ISNUMBER(VALUE(TRIM(SUBSTITUTE(AB73,".","")))),TRIM(SUBSTITUTE(AB73,".",""))&lt;&gt;""),"P"&amp;SUBSTITUTE(AB73,".",""),"")</f>
        <v/>
      </c>
      <c r="AS73" s="1233"/>
      <c r="AT73" s="1233"/>
      <c r="AU73" s="1234"/>
      <c r="AV73" s="1234"/>
    </row>
    <row s="1642" customFormat="1" customHeight="1" ht="13.5" hidden="1">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AND(F74&gt;0,Y74&gt;0)</f>
        <v>0</v>
      </c>
      <c r="U74" s="1437"/>
      <c r="V74" s="1437"/>
      <c r="W74" s="172" t="s">
        <v>235</v>
      </c>
      <c r="X74" s="1437"/>
      <c r="Y74" s="172">
        <v>0</v>
      </c>
      <c r="Z74" s="1437"/>
      <c r="AA74" s="1121" t="s">
        <v>219</v>
      </c>
      <c r="AB74" s="639" t="str">
        <f>"11."&amp;Y74</f>
        <v>11.0</v>
      </c>
      <c r="AC74" s="110"/>
      <c r="AD74" s="170" t="s">
        <v>986</v>
      </c>
      <c r="AE74" s="99"/>
      <c r="AF74" s="99"/>
      <c r="AG74" s="99"/>
      <c r="AH74" s="307">
        <f>AG74-AF74</f>
        <v>0</v>
      </c>
      <c r="AI74" s="99"/>
      <c r="AJ74" s="99"/>
      <c r="AK74" s="99"/>
      <c r="AL74" s="307">
        <f>IF(AI74=0,0,(AK74-AI74)/AI74*100)</f>
        <v>0</v>
      </c>
      <c r="AM74" s="74"/>
      <c r="AN74" s="74"/>
      <c r="AO74" s="74"/>
      <c r="AP74" s="227"/>
      <c r="AQ74" s="227"/>
      <c r="AR74" s="1233" t="s">
        <v>1294</v>
      </c>
      <c r="AS74" s="1233" t="s">
        <v>1295</v>
      </c>
      <c r="AT74" s="1243" cm="1" t="str">
        <f t="array" ref="AT74:AT74">AC74</f>
        <v>0</v>
      </c>
      <c r="AU74" s="1234"/>
      <c r="AV74" s="1234" t="b">
        <v>1</v>
      </c>
    </row>
    <row s="1642" customFormat="1" customHeight="1" ht="13.5">
      <c r="A75" s="225"/>
      <c r="B75" s="925"/>
      <c r="C75" s="225"/>
      <c r="D75" s="225"/>
      <c r="E75" s="794">
        <v>14.1</v>
      </c>
      <c r="F75" s="920" cm="1" t="str">
        <f t="array" ref="F75:F75">OFFSET(G75,-1,-1)</f>
        <v>1</v>
      </c>
      <c r="G75" s="227"/>
      <c r="H75" s="227"/>
      <c r="I75" s="227"/>
      <c r="J75" s="227"/>
      <c r="K75" s="227"/>
      <c r="L75" s="227"/>
      <c r="M75" s="227"/>
      <c r="N75" s="227"/>
      <c r="O75" s="227"/>
      <c r="P75" s="227"/>
      <c r="Q75" s="190"/>
      <c r="R75" s="190"/>
      <c r="S75" s="227"/>
      <c r="T75" s="805">
        <f>F75&gt;0</f>
        <v>1</v>
      </c>
      <c r="U75" s="1437"/>
      <c r="V75" s="1437"/>
      <c r="W75" s="371" t="s">
        <v>1296</v>
      </c>
      <c r="X75" s="1437"/>
      <c r="Y75" s="1437"/>
      <c r="Z75" s="1437"/>
      <c r="AA75" s="227"/>
      <c r="AB75" s="728"/>
      <c r="AC75" s="732" t="s">
        <v>237</v>
      </c>
      <c r="AD75" s="729"/>
      <c r="AE75" s="731"/>
      <c r="AF75" s="731"/>
      <c r="AG75" s="731"/>
      <c r="AH75" s="731"/>
      <c r="AI75" s="731"/>
      <c r="AJ75" s="731"/>
      <c r="AK75" s="731"/>
      <c r="AL75" s="731"/>
      <c r="AM75" s="731"/>
      <c r="AN75" s="731"/>
      <c r="AO75" s="731"/>
      <c r="AP75" s="227"/>
      <c r="AQ75" s="227"/>
      <c r="AR75" s="1233"/>
      <c r="AS75" s="1233"/>
      <c r="AT75" s="1233"/>
      <c r="AU75" s="1234" t="s">
        <v>1295</v>
      </c>
      <c r="AV75" s="1234"/>
    </row>
    <row customHeight="1" ht="9.945">
      <c r="E76" s="794">
        <v>10.2</v>
      </c>
      <c r="U76" s="176" t="s">
        <v>237</v>
      </c>
      <c r="V76" s="168" t="s">
        <v>1298</v>
      </c>
      <c r="AJ76" s="227"/>
      <c r="AK76" s="227"/>
      <c r="AL76" s="227"/>
    </row>
    <row customHeight="1" ht="11.25" hidden="1">
      <c r="E77" s="794">
        <v>0</v>
      </c>
      <c r="AJ77" s="227"/>
      <c r="AK77" s="227"/>
      <c r="AL77" s="227"/>
    </row>
    <row customHeight="1" ht="14.625">
      <c r="E78" s="794">
        <v>15</v>
      </c>
      <c r="AB78" s="1507" t="s">
        <v>694</v>
      </c>
      <c r="AC78" s="1507"/>
      <c r="AD78" s="1507"/>
      <c r="AE78" s="1507"/>
      <c r="AF78" s="1507"/>
      <c r="AG78" s="1507"/>
      <c r="AH78" s="1507"/>
      <c r="AI78" s="1507"/>
      <c r="AJ78" s="1507"/>
      <c r="AK78" s="1507"/>
      <c r="AL78" s="1507"/>
      <c r="AM78" s="1507"/>
      <c r="AN78" s="1507"/>
      <c r="AO78" s="1507"/>
    </row>
    <row customHeight="1" ht="14.625">
      <c r="E79" s="794">
        <v>15</v>
      </c>
      <c r="AA79" s="919"/>
      <c r="AB79" s="1521"/>
      <c r="AC79" s="1522"/>
      <c r="AD79" s="1522"/>
      <c r="AE79" s="1522"/>
      <c r="AF79" s="1522"/>
      <c r="AG79" s="1522"/>
      <c r="AH79" s="1522"/>
      <c r="AI79" s="1522"/>
      <c r="AJ79" s="1522"/>
      <c r="AK79" s="1522"/>
      <c r="AL79" s="1522"/>
      <c r="AM79" s="1522"/>
      <c r="AN79" s="1522"/>
      <c r="AO79" s="1522"/>
    </row>
    <row customHeight="1" ht="14.625" hidden="1">
      <c r="A80" s="225"/>
      <c r="B80" s="925"/>
      <c r="C80" s="225"/>
      <c r="D80" s="225"/>
      <c r="E80" s="794">
        <v>15</v>
      </c>
      <c r="F80" s="225"/>
      <c r="G80" s="227"/>
      <c r="H80" s="227"/>
      <c r="I80" s="227"/>
      <c r="J80" s="227"/>
      <c r="K80" s="227"/>
      <c r="L80" s="227"/>
      <c r="M80" s="227"/>
      <c r="N80" s="227"/>
      <c r="O80" s="227"/>
      <c r="P80" s="227"/>
      <c r="Q80" s="190"/>
      <c r="R80" s="190"/>
      <c r="S80" s="227"/>
      <c r="T80" s="805">
        <f>ROW(W80)&gt;ROW(W$80)</f>
        <v>0</v>
      </c>
      <c r="U80" s="1437"/>
      <c r="V80" s="1437"/>
      <c r="W80" s="172" t="s">
        <v>235</v>
      </c>
      <c r="X80" s="1437"/>
      <c r="Y80" s="1437"/>
      <c r="Z80" s="1437"/>
      <c r="AA80" s="915" t="s">
        <v>219</v>
      </c>
      <c r="AB80" s="1938"/>
      <c r="AC80" s="1522"/>
      <c r="AD80" s="1522"/>
      <c r="AE80" s="1522"/>
      <c r="AF80" s="1522"/>
      <c r="AG80" s="1522"/>
      <c r="AH80" s="1522"/>
      <c r="AI80" s="1522"/>
      <c r="AJ80" s="1522"/>
      <c r="AK80" s="1522"/>
      <c r="AL80" s="1522"/>
      <c r="AM80" s="1522"/>
      <c r="AN80" s="1522"/>
      <c r="AO80" s="1522"/>
      <c r="AP80" s="227"/>
      <c r="AQ80" s="227"/>
      <c r="AR80" s="1233"/>
      <c r="AS80" s="1233"/>
      <c r="AT80" s="1233"/>
      <c r="AU80" s="1234"/>
      <c r="AV80" s="1234"/>
    </row>
    <row customHeight="1" ht="14.625">
      <c r="E81" s="794">
        <v>15</v>
      </c>
      <c r="W81" s="168" t="s">
        <v>236</v>
      </c>
      <c r="AA81" s="210"/>
      <c r="AB81" s="1453" t="s">
        <v>695</v>
      </c>
      <c r="AC81" s="1454"/>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autoFilter="0" sort="0" insertRows="0" insertColumns="1" deleteRows="0" deleteColumns="0"/>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9B8476-BD88-2438-94EB-8D0208C93D24}"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372</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424</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425</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385</v>
      </c>
      <c r="AC24" s="1528" t="s">
        <v>427</v>
      </c>
      <c r="AD24" s="1528" t="s">
        <v>428</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1255</v>
      </c>
      <c r="BO24" s="1524" t="s">
        <v>582</v>
      </c>
      <c r="BP24" s="1524" t="s">
        <v>1256</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401</v>
      </c>
      <c r="AF25" s="166" t="s">
        <v>583</v>
      </c>
      <c r="AG25" s="166" t="s">
        <v>584</v>
      </c>
      <c r="AH25" s="166" t="s">
        <v>1257</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1258</v>
      </c>
      <c r="BE25" s="1524"/>
      <c r="BF25" s="1524"/>
      <c r="BG25" s="1524"/>
      <c r="BH25" s="1524"/>
      <c r="BI25" s="1524"/>
      <c r="BJ25" s="1524"/>
      <c r="BK25" s="1524"/>
      <c r="BL25" s="1524"/>
      <c r="BM25" s="1524"/>
      <c r="BN25" s="1524"/>
      <c r="BO25" s="1524"/>
      <c r="BP25" s="1524"/>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497</v>
      </c>
      <c r="T28" s="805" cm="1" t="str">
        <f t="array" ref="T28:T28">T27</f>
        <v>false</v>
      </c>
      <c r="AB28" s="157" t="s">
        <v>337</v>
      </c>
      <c r="AC28" s="739" t="s">
        <v>1299</v>
      </c>
      <c r="AD28" s="157" t="s">
        <v>485</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1300</v>
      </c>
    </row>
    <row s="230" customFormat="1" customHeight="1" ht="16.672500000000003" hidden="1">
      <c r="E29" s="794">
        <v>17.1</v>
      </c>
      <c r="F29" s="920" cm="1" t="str">
        <f t="array" ref="F29:F29">OFFSET(G29,-1,-1)</f>
        <v>0</v>
      </c>
      <c r="G29" s="930" t="s">
        <v>487</v>
      </c>
      <c r="T29" s="805" cm="1" t="str">
        <f t="array" ref="T29:T29">T28</f>
        <v>false</v>
      </c>
      <c r="AB29" s="157" t="s">
        <v>440</v>
      </c>
      <c r="AC29" s="165" t="s">
        <v>1301</v>
      </c>
      <c r="AD29" s="157" t="s">
        <v>485</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59">
        <v>1</v>
      </c>
      <c r="AV29" s="1959">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1302</v>
      </c>
    </row>
    <row customHeight="1" ht="16.672500000000003" hidden="1">
      <c r="E30" s="794">
        <v>17.1</v>
      </c>
      <c r="F30" s="920" cm="1" t="str">
        <f t="array" ref="F30:F30">OFFSET(G30,-1,-1)</f>
        <v>0</v>
      </c>
      <c r="G30" s="190" t="s">
        <v>540</v>
      </c>
      <c r="T30" s="805" cm="1" t="str">
        <f t="array" ref="T30:T30">T29</f>
        <v>false</v>
      </c>
      <c r="AB30" s="157" t="s">
        <v>608</v>
      </c>
      <c r="AC30" s="165" t="s">
        <v>1303</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1304</v>
      </c>
    </row>
    <row customHeight="1" ht="29.25" hidden="1">
      <c r="E31" s="794">
        <v>30</v>
      </c>
      <c r="F31" s="920" cm="1" t="str">
        <f t="array" ref="F31:F31">OFFSET(G31,-1,-1)</f>
        <v>0</v>
      </c>
      <c r="G31" s="190" t="s">
        <v>430</v>
      </c>
      <c r="T31" s="805" cm="1" t="str">
        <f t="array" ref="T31:T31">T30</f>
        <v>false</v>
      </c>
      <c r="AB31" s="157" t="s">
        <v>704</v>
      </c>
      <c r="AC31" s="162" t="s">
        <v>1305</v>
      </c>
      <c r="AD31" s="157" t="s">
        <v>1306</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1307</v>
      </c>
    </row>
    <row customHeight="1" ht="16.672500000000003" hidden="1">
      <c r="E32" s="794">
        <v>17.1</v>
      </c>
      <c r="F32" s="920" cm="1" t="str">
        <f t="array" ref="F32:F32">OFFSET(G32,-1,-1)</f>
        <v>0</v>
      </c>
      <c r="G32" s="190" t="s">
        <v>435</v>
      </c>
      <c r="T32" s="805" cm="1" t="str">
        <f t="array" ref="T32:T32">T31</f>
        <v>false</v>
      </c>
      <c r="AB32" s="157" t="s">
        <v>707</v>
      </c>
      <c r="AC32" s="162" t="s">
        <v>1308</v>
      </c>
      <c r="AD32" s="157" t="s">
        <v>684</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1309</v>
      </c>
    </row>
    <row customHeight="1" ht="16.672500000000003" hidden="1">
      <c r="E33" s="794">
        <v>17.1</v>
      </c>
      <c r="F33" s="920" cm="1" t="str">
        <f t="array" ref="F33:F33">OFFSET(G33,-1,-1)</f>
        <v>0</v>
      </c>
      <c r="G33" s="736" t="s">
        <v>544</v>
      </c>
      <c r="T33" s="805" cm="1" t="str">
        <f t="array" ref="T33:T33">T32</f>
        <v>false</v>
      </c>
      <c r="AB33" s="157" t="s">
        <v>618</v>
      </c>
      <c r="AC33" s="165" t="s">
        <v>1310</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1311</v>
      </c>
    </row>
    <row customHeight="1" ht="16.672500000000003" hidden="1">
      <c r="E34" s="794">
        <v>17.1</v>
      </c>
      <c r="F34" s="920" cm="1" t="str">
        <f t="array" ref="F34:F34">OFFSET(G34,-1,-1)</f>
        <v>0</v>
      </c>
      <c r="G34" s="736" t="s">
        <v>1259</v>
      </c>
      <c r="K34" s="227" t="str">
        <f>F34&amp;"komm"</f>
        <v>0komm</v>
      </c>
      <c r="L34" s="226" cm="1" t="str">
        <f t="array" ref="L34:L34">BO34</f>
        <v>0</v>
      </c>
      <c r="T34" s="805" cm="1" t="str">
        <f t="array" ref="T34:T34">T33</f>
        <v>false</v>
      </c>
      <c r="AB34" s="634" t="s">
        <v>623</v>
      </c>
      <c r="AC34" s="740" t="s">
        <v>1312</v>
      </c>
      <c r="AD34" s="672" t="s">
        <v>799</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1313</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745</v>
      </c>
      <c r="AC35" s="1056" t="s">
        <v>1314</v>
      </c>
      <c r="AD35" s="734"/>
      <c r="AE35" s="120"/>
      <c r="AF35" s="120"/>
      <c r="AG35" s="120"/>
      <c r="AH35" s="1075"/>
      <c r="AI35" s="1140"/>
      <c r="AJ35" s="1139">
        <f>(1+AJ28%)*(1-AJ29%)*(1+AJ30*AJ33)</f>
        <v>0.99</v>
      </c>
      <c r="AK35" s="1966">
        <f>(1+AK28%)*(1-AK29%)*(1+AK30*AK33)</f>
        <v>0.99</v>
      </c>
      <c r="AL35" s="1966">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66">
        <f>(1+AU28%)*(1-AU29%)*(1+AU30*AU33)</f>
        <v>0.99</v>
      </c>
      <c r="AV35" s="1966">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1315</v>
      </c>
    </row>
    <row s="1922"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337</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42" customFormat="1" customHeight="1" ht="16.5">
      <c r="A37" s="225"/>
      <c r="B37" s="925"/>
      <c r="C37" s="225"/>
      <c r="D37" s="225"/>
      <c r="E37" s="794">
        <v>17.1</v>
      </c>
      <c r="F37" s="920" cm="1" t="str">
        <f t="array" ref="F37:F37">OFFSET(G37,-1,-1)</f>
        <v>1</v>
      </c>
      <c r="G37" s="190" t="s">
        <v>497</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337</v>
      </c>
      <c r="AC37" s="739" t="s">
        <v>1299</v>
      </c>
      <c r="AD37" s="157" t="s">
        <v>485</v>
      </c>
      <c r="AE37" s="613"/>
      <c r="AF37" s="611"/>
      <c r="AG37" s="611"/>
      <c r="AH37" s="611"/>
      <c r="AI37" s="1968">
        <v>1.058</v>
      </c>
      <c r="AJ37" s="888">
        <f>_xlfn.SUMIFS(Сценарии!AE$27:AE$82,Сценарии!$F$27:$F$82,$F37,Сценарии!$G$27:$G$82,$G37)</f>
        <v>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105.1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92"/>
      <c r="BO37" s="1792"/>
      <c r="BP37" s="1792"/>
      <c r="BQ37" s="227"/>
      <c r="BR37" s="227"/>
      <c r="BS37" s="1231" t="s">
        <v>1300</v>
      </c>
    </row>
    <row s="1969" customFormat="1" customHeight="1" ht="16.5">
      <c r="A38" s="230"/>
      <c r="B38" s="230"/>
      <c r="C38" s="230"/>
      <c r="D38" s="230"/>
      <c r="E38" s="794">
        <v>17.1</v>
      </c>
      <c r="F38" s="920" cm="1" t="str">
        <f t="array" ref="F38:F38">OFFSET(G38,-1,-1)</f>
        <v>1</v>
      </c>
      <c r="G38" s="930" t="s">
        <v>487</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440</v>
      </c>
      <c r="AC38" s="165" t="s">
        <v>1301</v>
      </c>
      <c r="AD38" s="157" t="s">
        <v>485</v>
      </c>
      <c r="AE38" s="613"/>
      <c r="AF38" s="611"/>
      <c r="AG38" s="611"/>
      <c r="AH38" s="611"/>
      <c r="AI38" s="1968">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59">
        <v>1</v>
      </c>
      <c r="AV38" s="1959">
        <v>1</v>
      </c>
      <c r="AW38" s="1968">
        <v>1</v>
      </c>
      <c r="AX38" s="1968">
        <v>1</v>
      </c>
      <c r="AY38" s="1968">
        <v>1</v>
      </c>
      <c r="AZ38" s="1968">
        <v>1</v>
      </c>
      <c r="BA38" s="1968">
        <v>1</v>
      </c>
      <c r="BB38" s="1968">
        <v>1</v>
      </c>
      <c r="BC38" s="1968">
        <v>1</v>
      </c>
      <c r="BD38" s="1134"/>
      <c r="BE38" s="1134"/>
      <c r="BF38" s="1134"/>
      <c r="BG38" s="1134"/>
      <c r="BH38" s="1134"/>
      <c r="BI38" s="1134"/>
      <c r="BJ38" s="1134"/>
      <c r="BK38" s="1134"/>
      <c r="BL38" s="1134"/>
      <c r="BM38" s="1134"/>
      <c r="BN38" s="1792"/>
      <c r="BO38" s="1792"/>
      <c r="BP38" s="1792"/>
      <c r="BQ38" s="230"/>
      <c r="BR38" s="230"/>
      <c r="BS38" s="1231" t="s">
        <v>1302</v>
      </c>
    </row>
    <row s="1642" customFormat="1" customHeight="1" ht="16.5">
      <c r="A39" s="225"/>
      <c r="B39" s="925"/>
      <c r="C39" s="225"/>
      <c r="D39" s="225"/>
      <c r="E39" s="794">
        <v>17.1</v>
      </c>
      <c r="F39" s="920" cm="1" t="str">
        <f t="array" ref="F39:F39">OFFSET(G39,-1,-1)</f>
        <v>1</v>
      </c>
      <c r="G39" s="190" t="s">
        <v>540</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608</v>
      </c>
      <c r="AC39" s="165" t="s">
        <v>1303</v>
      </c>
      <c r="AD39" s="157"/>
      <c r="AE39" s="613"/>
      <c r="AF39" s="611"/>
      <c r="AG39" s="611"/>
      <c r="AH39" s="611"/>
      <c r="AI39" s="1968">
        <v>0.75</v>
      </c>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0.75</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92"/>
      <c r="BO39" s="1792"/>
      <c r="BP39" s="1792"/>
      <c r="BQ39" s="227"/>
      <c r="BR39" s="227"/>
      <c r="BS39" s="1231" t="s">
        <v>1304</v>
      </c>
    </row>
    <row s="1642" customFormat="1" customHeight="1" ht="29.25">
      <c r="A40" s="225"/>
      <c r="B40" s="925"/>
      <c r="C40" s="225"/>
      <c r="D40" s="225"/>
      <c r="E40" s="794">
        <v>30</v>
      </c>
      <c r="F40" s="920" cm="1" t="str">
        <f t="array" ref="F40:F40">OFFSET(G40,-1,-1)</f>
        <v>1</v>
      </c>
      <c r="G40" s="190" t="s">
        <v>430</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704</v>
      </c>
      <c r="AC40" s="162" t="s">
        <v>1305</v>
      </c>
      <c r="AD40" s="157" t="s">
        <v>1306</v>
      </c>
      <c r="AE40" s="613"/>
      <c r="AF40" s="611"/>
      <c r="AG40" s="611"/>
      <c r="AH40" s="611"/>
      <c r="AI40" s="1971">
        <f>_xlfn.SUMIFS('Расчет УЕ'!AE$26:AE$68,'Расчет УЕ'!$F$26:$F$68,$F40,'Расчет УЕ'!$G$26:$G$68,$G40)</f>
        <v>406</v>
      </c>
      <c r="AJ40" s="1077">
        <f>_xlfn.SUMIFS('Расчет УЕ'!AF$26:AF$68,'Расчет УЕ'!$F$26:$F$68,$F40,'Расчет УЕ'!$G$26:$G$68,$G40)</f>
        <v>406</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406</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92"/>
      <c r="BO40" s="1792"/>
      <c r="BP40" s="1792"/>
      <c r="BQ40" s="227"/>
      <c r="BR40" s="227"/>
      <c r="BS40" s="1231" t="s">
        <v>1307</v>
      </c>
    </row>
    <row s="1642" customFormat="1" customHeight="1" ht="16.5">
      <c r="A41" s="225"/>
      <c r="B41" s="925"/>
      <c r="C41" s="225"/>
      <c r="D41" s="225"/>
      <c r="E41" s="794">
        <v>17.1</v>
      </c>
      <c r="F41" s="920" cm="1" t="str">
        <f t="array" ref="F41:F41">OFFSET(G41,-1,-1)</f>
        <v>1</v>
      </c>
      <c r="G41" s="190" t="s">
        <v>435</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707</v>
      </c>
      <c r="AC41" s="162" t="s">
        <v>1308</v>
      </c>
      <c r="AD41" s="157" t="s">
        <v>684</v>
      </c>
      <c r="AE41" s="613"/>
      <c r="AF41" s="611"/>
      <c r="AG41" s="611"/>
      <c r="AH41" s="1074"/>
      <c r="AI41" s="1134"/>
      <c r="AJ41" s="888">
        <f>_xlfn.SUMIFS('Расчет УЕ'!AF$26:AF$68,'Расчет УЕ'!$F$26:$F$68,$F41,'Расчет УЕ'!$G$26:$G$68,$G41)</f>
        <v>406</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406</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92"/>
      <c r="BO41" s="1792"/>
      <c r="BP41" s="1792"/>
      <c r="BQ41" s="227"/>
      <c r="BR41" s="227"/>
      <c r="BS41" s="1231" t="s">
        <v>1309</v>
      </c>
    </row>
    <row s="1642" customFormat="1" customHeight="1" ht="16.5">
      <c r="A42" s="225"/>
      <c r="B42" s="925"/>
      <c r="C42" s="225"/>
      <c r="D42" s="225"/>
      <c r="E42" s="794">
        <v>17.1</v>
      </c>
      <c r="F42" s="920" cm="1" t="str">
        <f t="array" ref="F42:F42">OFFSET(G42,-1,-1)</f>
        <v>1</v>
      </c>
      <c r="G42" s="736" t="s">
        <v>544</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618</v>
      </c>
      <c r="AC42" s="165" t="s">
        <v>1316</v>
      </c>
      <c r="AD42" s="157"/>
      <c r="AE42" s="735"/>
      <c r="AF42" s="636"/>
      <c r="AG42" s="636"/>
      <c r="AH42" s="637"/>
      <c r="AI42" s="1134"/>
      <c r="AJ42" s="888">
        <f>_xlfn.SUMIFS(Сценарии!AE$27:AE$82,Сценарии!$F$27:$F$82,$F42,Сценарии!$G$27:$G$82,$G42)</f>
        <v>0</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92"/>
      <c r="BO42" s="1792"/>
      <c r="BP42" s="1792"/>
      <c r="BQ42" s="227"/>
      <c r="BR42" s="227"/>
      <c r="BS42" s="1231" t="s">
        <v>1311</v>
      </c>
    </row>
    <row s="1642" customFormat="1" customHeight="1" ht="16.5">
      <c r="A43" s="225"/>
      <c r="B43" s="925"/>
      <c r="C43" s="225"/>
      <c r="D43" s="225"/>
      <c r="E43" s="794">
        <v>17.1</v>
      </c>
      <c r="F43" s="920" cm="1" t="str">
        <f t="array" ref="F43:F43">OFFSET(G43,-1,-1)</f>
        <v>1</v>
      </c>
      <c r="G43" s="736" t="s">
        <v>1259</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623</v>
      </c>
      <c r="AC43" s="740" t="s">
        <v>1312</v>
      </c>
      <c r="AD43" s="672" t="s">
        <v>799</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(5.1)'!AI$26:AI$76,'Операционные (5.1)'!$F$26:$F$76,$F43,'Операционные (5.1)'!$G$26:$G$76,$G43)</f>
        <v>33329.20292</v>
      </c>
      <c r="AJ43" s="741">
        <v>34414.73</v>
      </c>
      <c r="AK43" s="306">
        <f>AJ43*AK44</f>
        <v>34070.5827</v>
      </c>
      <c r="AL43" s="1333">
        <f>AK43*AL44</f>
        <v>33729.876873</v>
      </c>
      <c r="AM43" s="306">
        <f>AL43*AM44</f>
        <v>33392.57810427</v>
      </c>
      <c r="AN43" s="306">
        <f>AM43*AN44</f>
        <v>33058.6523232273</v>
      </c>
      <c r="AO43" s="306">
        <f>AN43*AO44</f>
        <v>32728.065799995</v>
      </c>
      <c r="AP43" s="306">
        <f>AO43*AP44</f>
        <v>32400.7851419951</v>
      </c>
      <c r="AQ43" s="306">
        <f>AP43*AQ44</f>
        <v>32076.7772905751</v>
      </c>
      <c r="AR43" s="306">
        <f>AQ43*AR44</f>
        <v>31756.0095176694</v>
      </c>
      <c r="AS43" s="306">
        <f>AR43*AS44</f>
        <v>31438.4494224927</v>
      </c>
      <c r="AT43" s="1334">
        <v>34678.7</v>
      </c>
      <c r="AU43" s="306">
        <f>AT43*AU44</f>
        <v>34331.913</v>
      </c>
      <c r="AV43" s="306">
        <f>AU43*AV44</f>
        <v>33988.59387</v>
      </c>
      <c r="AW43" s="306">
        <f>AV43*AW44</f>
        <v>33648.7079313</v>
      </c>
      <c r="AX43" s="306">
        <f>AW43*AX44</f>
        <v>33312.220851987</v>
      </c>
      <c r="AY43" s="306">
        <f>AX43*AY44</f>
        <v>32979.0986434671</v>
      </c>
      <c r="AZ43" s="306">
        <f>AY43*AZ44</f>
        <v>32649.3076570324</v>
      </c>
      <c r="BA43" s="306">
        <f>AZ43*BA44</f>
        <v>32322.8145804621</v>
      </c>
      <c r="BB43" s="306">
        <f>BA43*BB44</f>
        <v>31999.5864346575</v>
      </c>
      <c r="BC43" s="1335">
        <f>BB43*BC44</f>
        <v>31679.5905703109</v>
      </c>
      <c r="BD43" s="1137"/>
      <c r="BE43" s="1136">
        <f>IF(AT43=0,0,(AU43-AT43)/AT43*100)</f>
        <v>-0.99999999999999</v>
      </c>
      <c r="BF43" s="1136">
        <f>IF(AU43=0,0,(AV43-AU43)/AU43*100)</f>
        <v>-1</v>
      </c>
      <c r="BG43" s="1136">
        <f>IF(AV43=0,0,(AW43-AV43)/AV43*100)</f>
        <v>-0.99999999999999</v>
      </c>
      <c r="BH43" s="1136">
        <f>IF(AW43=0,0,(AX43-AW43)/AW43*100)</f>
        <v>-1</v>
      </c>
      <c r="BI43" s="1136">
        <f>IF(AX43=0,0,(AY43-AX43)/AX43*100)</f>
        <v>-1.0000000000001</v>
      </c>
      <c r="BJ43" s="1136">
        <f>IF(AY43=0,0,(AZ43-AY43)/AY43*100)</f>
        <v>-1.0000000000001</v>
      </c>
      <c r="BK43" s="1136">
        <f>IF(AZ43=0,0,(BA43-AZ43)/AZ43*100)</f>
        <v>-0.99999999999992</v>
      </c>
      <c r="BL43" s="1136">
        <f>IF(BA43=0,0,(BB43-BA43)/BA43*100)</f>
        <v>-0.99999999999994</v>
      </c>
      <c r="BM43" s="1136">
        <f>IF(BB43=0,0,(BC43-BB43)/BB43*100)</f>
        <v>-1.0000000000001</v>
      </c>
      <c r="BN43" s="1792"/>
      <c r="BO43" s="1792"/>
      <c r="BP43" s="1792"/>
      <c r="BQ43" s="227"/>
      <c r="BR43" s="227"/>
      <c r="BS43" s="1231" t="s">
        <v>1313</v>
      </c>
    </row>
    <row s="1974"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745</v>
      </c>
      <c r="AC44" s="1056" t="s">
        <v>1314</v>
      </c>
      <c r="AD44" s="734"/>
      <c r="AE44" s="120"/>
      <c r="AF44" s="120"/>
      <c r="AG44" s="120"/>
      <c r="AH44" s="1075"/>
      <c r="AI44" s="1140"/>
      <c r="AJ44" s="1139">
        <f>(1+AJ37%)*(1-AJ38%)*(1+AJ39*AJ42)</f>
        <v>0.99</v>
      </c>
      <c r="AK44" s="1966">
        <f>(1+AK37%)*(1-AK38%)*(1+AK39*AK42)</f>
        <v>0.99</v>
      </c>
      <c r="AL44" s="1966">
        <f>(1+AL37%)*(1-AL38%)*(1+AL39*AL42)</f>
        <v>0.99</v>
      </c>
      <c r="AM44" s="1976">
        <f>(1+AM37%)*(1-AM38%)*(1+AM39*AM42)</f>
        <v>0.99</v>
      </c>
      <c r="AN44" s="1976">
        <f>(1+AN37%)*(1-AN38%)*(1+AN39*AN42)</f>
        <v>0.99</v>
      </c>
      <c r="AO44" s="1976">
        <f>(1+AO37%)*(1-AO38%)*(1+AO39*AO42)</f>
        <v>0.99</v>
      </c>
      <c r="AP44" s="1976">
        <f>(1+AP37%)*(1-AP38%)*(1+AP39*AP42)</f>
        <v>0.99</v>
      </c>
      <c r="AQ44" s="1976">
        <f>(1+AQ37%)*(1-AQ38%)*(1+AQ39*AQ42)</f>
        <v>0.99</v>
      </c>
      <c r="AR44" s="1976">
        <f>(1+AR37%)*(1-AR38%)*(1+AR39*AR42)</f>
        <v>0.99</v>
      </c>
      <c r="AS44" s="1976">
        <f>(1+AS37%)*(1-AS38%)*(1+AS39*AS42)</f>
        <v>0.99</v>
      </c>
      <c r="AT44" s="1139">
        <f>(1+AT37%)*(1-AT38%)*(1+AT39*AT42)</f>
        <v>2.03049</v>
      </c>
      <c r="AU44" s="1966">
        <f>(1+AU37%)*(1-AU38%)*(1+AU39*AU42)</f>
        <v>0.99</v>
      </c>
      <c r="AV44" s="1966">
        <f>(1+AV37%)*(1-AV38%)*(1+AV39*AV42)</f>
        <v>0.99</v>
      </c>
      <c r="AW44" s="1976">
        <f>(1+AW37%)*(1-AW38%)*(1+AW39*AW42)</f>
        <v>0.99</v>
      </c>
      <c r="AX44" s="1976">
        <f>(1+AX37%)*(1-AX38%)*(1+AX39*AX42)</f>
        <v>0.99</v>
      </c>
      <c r="AY44" s="1976">
        <f>(1+AY37%)*(1-AY38%)*(1+AY39*AY42)</f>
        <v>0.99</v>
      </c>
      <c r="AZ44" s="1976">
        <f>(1+AZ37%)*(1-AZ38%)*(1+AZ39*AZ42)</f>
        <v>0.99</v>
      </c>
      <c r="BA44" s="1976">
        <f>(1+BA37%)*(1-BA38%)*(1+BA39*BA42)</f>
        <v>0.99</v>
      </c>
      <c r="BB44" s="1976">
        <f>(1+BB37%)*(1-BB38%)*(1+BB39*BB42)</f>
        <v>0.99</v>
      </c>
      <c r="BC44" s="1976">
        <f>(1+BC37%)*(1-BC38%)*(1+BC39*BC42)</f>
        <v>0.99</v>
      </c>
      <c r="BD44" s="1140"/>
      <c r="BE44" s="1140"/>
      <c r="BF44" s="1140"/>
      <c r="BG44" s="1140"/>
      <c r="BH44" s="1140"/>
      <c r="BI44" s="1140"/>
      <c r="BJ44" s="1140"/>
      <c r="BK44" s="1140"/>
      <c r="BL44" s="1140"/>
      <c r="BM44" s="1140"/>
      <c r="BN44" s="1792"/>
      <c r="BO44" s="1792"/>
      <c r="BP44" s="1792"/>
      <c r="BQ44" s="549"/>
      <c r="BR44" s="549"/>
      <c r="BS44" s="1231" t="s">
        <v>1315</v>
      </c>
    </row>
    <row customHeight="1" ht="9.945">
      <c r="E45" s="794">
        <v>10.2</v>
      </c>
      <c r="U45" s="176" t="s">
        <v>237</v>
      </c>
      <c r="V45" s="168" t="s">
        <v>1317</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7" t="s">
        <v>694</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235</v>
      </c>
      <c r="X49" s="1437"/>
      <c r="Y49" s="1437"/>
      <c r="Z49" s="1437"/>
      <c r="AA49" s="915" t="s">
        <v>219</v>
      </c>
      <c r="AB49" s="1938"/>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236</v>
      </c>
      <c r="AA50" s="210"/>
      <c r="AB50" s="1453" t="s">
        <v>695</v>
      </c>
      <c r="AC50" s="1454"/>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64095-C37F-CAC8-A8EB-103A961D8F38}" mc:Ignorable="x14ac xr xr2 xr3">
  <sheetPr>
    <tabColor rgb="FF92D050"/>
    <outlinePr summaryRight="0" summaryBelow="0"/>
    <pageSetUpPr fitToPage="1"/>
  </sheetPr>
  <dimension ref="A1:BS73"/>
  <sheetViews>
    <sheetView showGridLines="0" workbookViewId="0">
      <pane xSplit="30" ySplit="25" topLeftCell="AT47" activePane="bottomRight" state="frozen"/>
      <selection pane="bottomLeft" activeCell="A26" sqref="A26"/>
      <selection pane="topRight" activeCell="AE1" sqref="AE1"/>
      <selection pane="bottomRight" activeCell="AT57" sqref="AT5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372</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5" t="s">
        <v>385</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1255</v>
      </c>
      <c r="BO24" s="1524" t="s">
        <v>582</v>
      </c>
      <c r="BP24" s="1524" t="s">
        <v>1256</v>
      </c>
      <c r="BS24" s="1233"/>
    </row>
    <row s="226" customFormat="1" customHeight="1" ht="46.1175">
      <c r="A25" s="229"/>
      <c r="B25" s="789"/>
      <c r="C25" s="229"/>
      <c r="D25" s="229"/>
      <c r="E25" s="800">
        <v>47.3</v>
      </c>
      <c r="F25" s="229"/>
      <c r="Q25" s="930"/>
      <c r="R25" s="930"/>
      <c r="T25" s="168"/>
      <c r="U25" s="168"/>
      <c r="V25" s="168"/>
      <c r="W25" s="168"/>
      <c r="X25" s="168"/>
      <c r="Y25" s="168"/>
      <c r="Z25" s="168"/>
      <c r="AB25" s="1525"/>
      <c r="AC25" s="1525"/>
      <c r="AD25" s="1525"/>
      <c r="AE25" s="166" t="s">
        <v>401</v>
      </c>
      <c r="AF25" s="1356" t="s">
        <v>583</v>
      </c>
      <c r="AG25" s="166" t="s">
        <v>584</v>
      </c>
      <c r="AH25" s="258" t="s">
        <v>1257</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1258</v>
      </c>
      <c r="BE25" s="1524"/>
      <c r="BF25" s="1524"/>
      <c r="BG25" s="1524"/>
      <c r="BH25" s="1524"/>
      <c r="BI25" s="1524"/>
      <c r="BJ25" s="1524"/>
      <c r="BK25" s="1524"/>
      <c r="BL25" s="1524"/>
      <c r="BM25" s="1524"/>
      <c r="BN25" s="1524"/>
      <c r="BO25" s="1524"/>
      <c r="BP25" s="1524"/>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1318</v>
      </c>
      <c r="K28" s="227" t="str">
        <f>F28&amp;"komm"</f>
        <v>0komm</v>
      </c>
      <c r="L28" s="226" cm="1" t="str">
        <f t="array" ref="L28:L28">BO28</f>
        <v>0</v>
      </c>
      <c r="T28" s="805" cm="1" t="str">
        <f t="array" ref="T28:T28">T27</f>
        <v>false</v>
      </c>
      <c r="AB28" s="1526" t="s">
        <v>1319</v>
      </c>
      <c r="AC28" s="1527"/>
      <c r="AD28" s="302" t="s">
        <v>799</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1320</v>
      </c>
    </row>
    <row customHeight="1" ht="27.105" hidden="1">
      <c r="E29" s="794">
        <v>27.8</v>
      </c>
      <c r="F29" s="920" cm="1" t="str">
        <f t="array" ref="F29:F29">OFFSET(G29,-1,-1)</f>
        <v>0</v>
      </c>
      <c r="G29" s="190" t="s">
        <v>1146</v>
      </c>
      <c r="T29" s="805" cm="1" t="str">
        <f t="array" ref="T29:T29">T28</f>
        <v>false</v>
      </c>
      <c r="AB29" s="157" t="s">
        <v>436</v>
      </c>
      <c r="AC29" s="164" t="s">
        <v>47</v>
      </c>
      <c r="AD29" s="157" t="s">
        <v>799</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2">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1321</v>
      </c>
    </row>
    <row customHeight="1" ht="14.625" hidden="1">
      <c r="E30" s="794">
        <v>15</v>
      </c>
      <c r="F30" s="920" cm="1" t="str">
        <f t="array" ref="F30:F30">OFFSET(G30,-1,-1)</f>
        <v>0</v>
      </c>
      <c r="G30" s="736" t="s">
        <v>1122</v>
      </c>
      <c r="T30" s="805" cm="1" t="str">
        <f t="array" ref="T30:T30">T29</f>
        <v>false</v>
      </c>
      <c r="AB30" s="157" t="s">
        <v>899</v>
      </c>
      <c r="AC30" s="164" t="s">
        <v>1322</v>
      </c>
      <c r="AD30" s="157" t="s">
        <v>799</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1125</v>
      </c>
    </row>
    <row customHeight="1" ht="14.625" hidden="1">
      <c r="E31" s="794">
        <v>15</v>
      </c>
      <c r="F31" s="920" cm="1" t="str">
        <f t="array" ref="F31:F31">OFFSET(G31,-1,-1)</f>
        <v>0</v>
      </c>
      <c r="G31" s="190" t="s">
        <v>1126</v>
      </c>
      <c r="T31" s="805" cm="1" t="str">
        <f t="array" ref="T31:T31">T30</f>
        <v>false</v>
      </c>
      <c r="AB31" s="157" t="s">
        <v>901</v>
      </c>
      <c r="AC31" s="164" t="s">
        <v>1127</v>
      </c>
      <c r="AD31" s="157" t="s">
        <v>799</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1323</v>
      </c>
    </row>
    <row customHeight="1" ht="14.625" hidden="1">
      <c r="E32" s="794">
        <v>15</v>
      </c>
      <c r="F32" s="920" cm="1" t="str">
        <f t="array" ref="F32:F32">OFFSET(G32,-1,-1)</f>
        <v>0</v>
      </c>
      <c r="T32" s="805" cm="1" t="str">
        <f t="array" ref="T32:T32">T31</f>
        <v>false</v>
      </c>
      <c r="AB32" s="157" t="s">
        <v>905</v>
      </c>
      <c r="AC32" s="164" t="s">
        <v>1324</v>
      </c>
      <c r="AD32" s="157" t="s">
        <v>799</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1325</v>
      </c>
    </row>
    <row customHeight="1" ht="39.4875" hidden="1">
      <c r="E33" s="794">
        <v>40.5</v>
      </c>
      <c r="F33" s="920" cm="1" t="str">
        <f t="array" ref="F33:F33">OFFSET(G33,-1,-1)</f>
        <v>0</v>
      </c>
      <c r="G33" s="190" t="s">
        <v>1210</v>
      </c>
      <c r="T33" s="805" cm="1" t="str">
        <f t="array" ref="T33:T33">T32</f>
        <v>false</v>
      </c>
      <c r="AB33" s="157" t="s">
        <v>994</v>
      </c>
      <c r="AC33" s="164" t="s">
        <v>1211</v>
      </c>
      <c r="AD33" s="157" t="s">
        <v>799</v>
      </c>
      <c r="AE33" s="612">
        <f>_xlfn.SUMIFS(Налоги!AE$26:AE$57,Налоги!$F$26:$F$57,$F33,Налоги!$G$26:$G$57,$G33)</f>
        <v>0</v>
      </c>
      <c r="AF33" s="612">
        <f>_xlfn.SUMIFS(Налоги!AF$26:AF$57,Налоги!$F$26:$F$57,$F33,Налоги!$G$26:$G$57,$G33)</f>
        <v>0</v>
      </c>
      <c r="AG33" s="122">
        <f>_xlfn.SUMIFS(Налоги!AG$26:AG$57,Налоги!$F$26:$F$57,$F33,Налоги!$G$26:$G$57,$G33)</f>
        <v>0</v>
      </c>
      <c r="AH33" s="307">
        <f>AG33-AF33</f>
        <v>0</v>
      </c>
      <c r="AI33" s="612">
        <f>_xlfn.SUMIFS(Налоги!AH$26:AH$57,Налоги!$F$26:$F$57,$F33,Налоги!$G$26:$G$57,$G33)</f>
        <v>0</v>
      </c>
      <c r="AJ33" s="612">
        <f>_xlfn.SUMIFS(Налоги!AI$26:AI$57,Налоги!$F$26:$F$57,$F33,Налоги!$G$26:$G$57,$G33)</f>
        <v>0</v>
      </c>
      <c r="AK33" s="612">
        <f>_xlfn.SUMIFS(Налоги!AJ$26:AJ$57,Налоги!$F$26:$F$57,$F33,Налоги!$G$26:$G$57,$G33)</f>
        <v>0</v>
      </c>
      <c r="AL33" s="612">
        <f>_xlfn.SUMIFS(Налоги!AK$26:AK$57,Налоги!$F$26:$F$57,$F33,Налоги!$G$26:$G$57,$G33)</f>
        <v>0</v>
      </c>
      <c r="AM33" s="612">
        <f>_xlfn.SUMIFS(Налоги!AL$26:AL$57,Налоги!$F$26:$F$57,$F33,Налоги!$G$26:$G$57,$G33)</f>
        <v>0</v>
      </c>
      <c r="AN33" s="612">
        <f>_xlfn.SUMIFS(Налоги!AM$26:AM$57,Налоги!$F$26:$F$57,$F33,Налоги!$G$26:$G$57,$G33)</f>
        <v>0</v>
      </c>
      <c r="AO33" s="612">
        <f>_xlfn.SUMIFS(Налоги!AN$26:AN$57,Налоги!$F$26:$F$57,$F33,Налоги!$G$26:$G$57,$G33)</f>
        <v>0</v>
      </c>
      <c r="AP33" s="612">
        <f>_xlfn.SUMIFS(Налоги!AO$26:AO$57,Налоги!$F$26:$F$57,$F33,Налоги!$G$26:$G$57,$G33)</f>
        <v>0</v>
      </c>
      <c r="AQ33" s="612">
        <f>_xlfn.SUMIFS(Налоги!AP$26:AP$57,Налоги!$F$26:$F$57,$F33,Налоги!$G$26:$G$57,$G33)</f>
        <v>0</v>
      </c>
      <c r="AR33" s="612">
        <f>_xlfn.SUMIFS(Налоги!AQ$26:AQ$57,Налоги!$F$26:$F$57,$F33,Налоги!$G$26:$G$57,$G33)</f>
        <v>0</v>
      </c>
      <c r="AS33" s="612">
        <f>_xlfn.SUMIFS(Налоги!AR$26:AR$57,Налоги!$F$26:$F$57,$F33,Налоги!$G$26:$G$57,$G33)</f>
        <v>0</v>
      </c>
      <c r="AT33" s="612">
        <f>_xlfn.SUMIFS(Налоги!AS$26:AS$57,Налоги!$F$26:$F$57,$F33,Налоги!$G$26:$G$57,$G33)</f>
        <v>0</v>
      </c>
      <c r="AU33" s="612">
        <f>_xlfn.SUMIFS(Налоги!AT$26:AT$57,Налоги!$F$26:$F$57,$F33,Налоги!$G$26:$G$57,$G33)</f>
        <v>0</v>
      </c>
      <c r="AV33" s="612">
        <f>_xlfn.SUMIFS(Налоги!AU$26:AU$57,Налоги!$F$26:$F$57,$F33,Налоги!$G$26:$G$57,$G33)</f>
        <v>0</v>
      </c>
      <c r="AW33" s="612">
        <f>_xlfn.SUMIFS(Налоги!AV$26:AV$57,Налоги!$F$26:$F$57,$F33,Налоги!$G$26:$G$57,$G33)</f>
        <v>0</v>
      </c>
      <c r="AX33" s="612">
        <f>_xlfn.SUMIFS(Налоги!AW$26:AW$57,Налоги!$F$26:$F$57,$F33,Налоги!$G$26:$G$57,$G33)</f>
        <v>0</v>
      </c>
      <c r="AY33" s="612">
        <f>_xlfn.SUMIFS(Налоги!AX$26:AX$57,Налоги!$F$26:$F$57,$F33,Налоги!$G$26:$G$57,$G33)</f>
        <v>0</v>
      </c>
      <c r="AZ33" s="612">
        <f>_xlfn.SUMIFS(Налоги!AY$26:AY$57,Налоги!$F$26:$F$57,$F33,Налоги!$G$26:$G$57,$G33)</f>
        <v>0</v>
      </c>
      <c r="BA33" s="612">
        <f>_xlfn.SUMIFS(Налоги!AZ$26:AZ$57,Налоги!$F$26:$F$57,$F33,Налоги!$G$26:$G$57,$G33)</f>
        <v>0</v>
      </c>
      <c r="BB33" s="612">
        <f>_xlfn.SUMIFS(Налоги!BA$26:BA$57,Налоги!$F$26:$F$57,$F33,Налоги!$G$26:$G$57,$G33)</f>
        <v>0</v>
      </c>
      <c r="BC33" s="612">
        <f>_xlfn.SUMIFS(Налоги!BB$26:BB$57,Налоги!$F$26:$F$57,$F33,Налоги!$G$26:$G$57,$G33)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1326</v>
      </c>
    </row>
    <row s="232" customFormat="1" customHeight="1" ht="14.625" hidden="1">
      <c r="E34" s="794">
        <v>15</v>
      </c>
      <c r="F34" s="920" cm="1" t="str">
        <f t="array" ref="F34:F34">OFFSET(G34,-1,-1)</f>
        <v>0</v>
      </c>
      <c r="G34" s="190" t="s">
        <v>1217</v>
      </c>
      <c r="T34" s="805" cm="1" t="str">
        <f t="array" ref="T34:T34">T33</f>
        <v>false</v>
      </c>
      <c r="AB34" s="157" t="s">
        <v>997</v>
      </c>
      <c r="AC34" s="164" t="s">
        <v>1327</v>
      </c>
      <c r="AD34" s="157" t="s">
        <v>799</v>
      </c>
      <c r="AE34" s="612">
        <f>_xlfn.SUMIFS(Налоги!AE$26:AE$57,Налоги!$F$26:$F$57,$F34,Налоги!$G$26:$G$57,$G34)</f>
        <v>0</v>
      </c>
      <c r="AF34" s="612">
        <f>_xlfn.SUMIFS(Налоги!AF$26:AF$57,Налоги!$F$26:$F$57,$F34,Налоги!$G$26:$G$57,$G34)</f>
        <v>0</v>
      </c>
      <c r="AG34" s="122">
        <f>_xlfn.SUMIFS(Налоги!AG$26:AG$57,Налоги!$F$26:$F$57,$F34,Налоги!$G$26:$G$57,$G34)</f>
        <v>0</v>
      </c>
      <c r="AH34" s="307">
        <f>AG34-AF34</f>
        <v>0</v>
      </c>
      <c r="AI34" s="612">
        <f>_xlfn.SUMIFS(Налоги!AH$26:AH$57,Налоги!$F$26:$F$57,$F34,Налоги!$G$26:$G$57,$G34)</f>
        <v>0</v>
      </c>
      <c r="AJ34" s="612">
        <f>_xlfn.SUMIFS(Налоги!AI$26:AI$57,Налоги!$F$26:$F$57,$F34,Налоги!$G$26:$G$57,$G34)</f>
        <v>0</v>
      </c>
      <c r="AK34" s="612">
        <f>_xlfn.SUMIFS(Налоги!AJ$26:AJ$57,Налоги!$F$26:$F$57,$F34,Налоги!$G$26:$G$57,$G34)</f>
        <v>0</v>
      </c>
      <c r="AL34" s="612">
        <f>_xlfn.SUMIFS(Налоги!AK$26:AK$57,Налоги!$F$26:$F$57,$F34,Налоги!$G$26:$G$57,$G34)</f>
        <v>0</v>
      </c>
      <c r="AM34" s="612">
        <f>_xlfn.SUMIFS(Налоги!AL$26:AL$57,Налоги!$F$26:$F$57,$F34,Налоги!$G$26:$G$57,$G34)</f>
        <v>0</v>
      </c>
      <c r="AN34" s="612">
        <f>_xlfn.SUMIFS(Налоги!AM$26:AM$57,Налоги!$F$26:$F$57,$F34,Налоги!$G$26:$G$57,$G34)</f>
        <v>0</v>
      </c>
      <c r="AO34" s="612">
        <f>_xlfn.SUMIFS(Налоги!AN$26:AN$57,Налоги!$F$26:$F$57,$F34,Налоги!$G$26:$G$57,$G34)</f>
        <v>0</v>
      </c>
      <c r="AP34" s="612">
        <f>_xlfn.SUMIFS(Налоги!AO$26:AO$57,Налоги!$F$26:$F$57,$F34,Налоги!$G$26:$G$57,$G34)</f>
        <v>0</v>
      </c>
      <c r="AQ34" s="612">
        <f>_xlfn.SUMIFS(Налоги!AP$26:AP$57,Налоги!$F$26:$F$57,$F34,Налоги!$G$26:$G$57,$G34)</f>
        <v>0</v>
      </c>
      <c r="AR34" s="612">
        <f>_xlfn.SUMIFS(Налоги!AQ$26:AQ$57,Налоги!$F$26:$F$57,$F34,Налоги!$G$26:$G$57,$G34)</f>
        <v>0</v>
      </c>
      <c r="AS34" s="612">
        <f>_xlfn.SUMIFS(Налоги!AR$26:AR$57,Налоги!$F$26:$F$57,$F34,Налоги!$G$26:$G$57,$G34)</f>
        <v>0</v>
      </c>
      <c r="AT34" s="612">
        <f>_xlfn.SUMIFS(Налоги!AS$26:AS$57,Налоги!$F$26:$F$57,$F34,Налоги!$G$26:$G$57,$G34)</f>
        <v>0</v>
      </c>
      <c r="AU34" s="612">
        <f>_xlfn.SUMIFS(Налоги!AT$26:AT$57,Налоги!$F$26:$F$57,$F34,Налоги!$G$26:$G$57,$G34)</f>
        <v>0</v>
      </c>
      <c r="AV34" s="612">
        <f>_xlfn.SUMIFS(Налоги!AU$26:AU$57,Налоги!$F$26:$F$57,$F34,Налоги!$G$26:$G$57,$G34)</f>
        <v>0</v>
      </c>
      <c r="AW34" s="612">
        <f>_xlfn.SUMIFS(Налоги!AV$26:AV$57,Налоги!$F$26:$F$57,$F34,Налоги!$G$26:$G$57,$G34)</f>
        <v>0</v>
      </c>
      <c r="AX34" s="612">
        <f>_xlfn.SUMIFS(Налоги!AW$26:AW$57,Налоги!$F$26:$F$57,$F34,Налоги!$G$26:$G$57,$G34)</f>
        <v>0</v>
      </c>
      <c r="AY34" s="612">
        <f>_xlfn.SUMIFS(Налоги!AX$26:AX$57,Налоги!$F$26:$F$57,$F34,Налоги!$G$26:$G$57,$G34)</f>
        <v>0</v>
      </c>
      <c r="AZ34" s="612">
        <f>_xlfn.SUMIFS(Налоги!AY$26:AY$57,Налоги!$F$26:$F$57,$F34,Налоги!$G$26:$G$57,$G34)</f>
        <v>0</v>
      </c>
      <c r="BA34" s="612">
        <f>_xlfn.SUMIFS(Налоги!AZ$26:AZ$57,Налоги!$F$26:$F$57,$F34,Налоги!$G$26:$G$57,$G34)</f>
        <v>0</v>
      </c>
      <c r="BB34" s="612">
        <f>_xlfn.SUMIFS(Налоги!BA$26:BA$57,Налоги!$F$26:$F$57,$F34,Налоги!$G$26:$G$57,$G34)</f>
        <v>0</v>
      </c>
      <c r="BC34" s="612">
        <f>_xlfn.SUMIFS(Налоги!BB$26:BB$57,Налоги!$F$26:$F$57,$F34,Налоги!$G$26:$G$57,$G34)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1328</v>
      </c>
    </row>
    <row s="232" customFormat="1" customHeight="1" ht="14.625" hidden="1">
      <c r="E35" s="794">
        <v>15</v>
      </c>
      <c r="F35" s="920" cm="1" t="str">
        <f t="array" ref="F35:F35">OFFSET(G35,-1,-1)</f>
        <v>0</v>
      </c>
      <c r="G35" s="190" t="s">
        <v>1213</v>
      </c>
      <c r="T35" s="805" cm="1" t="str">
        <f t="array" ref="T35:T35">T34</f>
        <v>false</v>
      </c>
      <c r="AB35" s="157" t="s">
        <v>1000</v>
      </c>
      <c r="AC35" s="164" t="s">
        <v>1329</v>
      </c>
      <c r="AD35" s="157" t="s">
        <v>799</v>
      </c>
      <c r="AE35" s="612">
        <f>_xlfn.SUMIFS(Налоги!AE$26:AE$57,Налоги!$F$26:$F$57,$F35,Налоги!$G$26:$G$57,$G35)</f>
        <v>0</v>
      </c>
      <c r="AF35" s="612">
        <f>_xlfn.SUMIFS(Налоги!AF$26:AF$57,Налоги!$F$26:$F$57,$F35,Налоги!$G$26:$G$57,$G35)</f>
        <v>0</v>
      </c>
      <c r="AG35" s="122">
        <f>_xlfn.SUMIFS(Налоги!AG$26:AG$57,Налоги!$F$26:$F$57,$F35,Налоги!$G$26:$G$57,$G35)</f>
        <v>0</v>
      </c>
      <c r="AH35" s="307">
        <f>AG35-AF35</f>
        <v>0</v>
      </c>
      <c r="AI35" s="612">
        <f>_xlfn.SUMIFS(Налоги!AH$26:AH$57,Налоги!$F$26:$F$57,$F35,Налоги!$G$26:$G$57,$G35)</f>
        <v>0</v>
      </c>
      <c r="AJ35" s="612">
        <f>_xlfn.SUMIFS(Налоги!AI$26:AI$57,Налоги!$F$26:$F$57,$F35,Налоги!$G$26:$G$57,$G35)</f>
        <v>0</v>
      </c>
      <c r="AK35" s="612">
        <f>_xlfn.SUMIFS(Налоги!AJ$26:AJ$57,Налоги!$F$26:$F$57,$F35,Налоги!$G$26:$G$57,$G35)</f>
        <v>0</v>
      </c>
      <c r="AL35" s="612">
        <f>_xlfn.SUMIFS(Налоги!AK$26:AK$57,Налоги!$F$26:$F$57,$F35,Налоги!$G$26:$G$57,$G35)</f>
        <v>0</v>
      </c>
      <c r="AM35" s="612">
        <f>_xlfn.SUMIFS(Налоги!AL$26:AL$57,Налоги!$F$26:$F$57,$F35,Налоги!$G$26:$G$57,$G35)</f>
        <v>0</v>
      </c>
      <c r="AN35" s="612">
        <f>_xlfn.SUMIFS(Налоги!AM$26:AM$57,Налоги!$F$26:$F$57,$F35,Налоги!$G$26:$G$57,$G35)</f>
        <v>0</v>
      </c>
      <c r="AO35" s="612">
        <f>_xlfn.SUMIFS(Налоги!AN$26:AN$57,Налоги!$F$26:$F$57,$F35,Налоги!$G$26:$G$57,$G35)</f>
        <v>0</v>
      </c>
      <c r="AP35" s="612">
        <f>_xlfn.SUMIFS(Налоги!AO$26:AO$57,Налоги!$F$26:$F$57,$F35,Налоги!$G$26:$G$57,$G35)</f>
        <v>0</v>
      </c>
      <c r="AQ35" s="612">
        <f>_xlfn.SUMIFS(Налоги!AP$26:AP$57,Налоги!$F$26:$F$57,$F35,Налоги!$G$26:$G$57,$G35)</f>
        <v>0</v>
      </c>
      <c r="AR35" s="612">
        <f>_xlfn.SUMIFS(Налоги!AQ$26:AQ$57,Налоги!$F$26:$F$57,$F35,Налоги!$G$26:$G$57,$G35)</f>
        <v>0</v>
      </c>
      <c r="AS35" s="612">
        <f>_xlfn.SUMIFS(Налоги!AR$26:AR$57,Налоги!$F$26:$F$57,$F35,Налоги!$G$26:$G$57,$G35)</f>
        <v>0</v>
      </c>
      <c r="AT35" s="612">
        <f>_xlfn.SUMIFS(Налоги!AS$26:AS$57,Налоги!$F$26:$F$57,$F35,Налоги!$G$26:$G$57,$G35)</f>
        <v>0</v>
      </c>
      <c r="AU35" s="612">
        <f>_xlfn.SUMIFS(Налоги!AT$26:AT$57,Налоги!$F$26:$F$57,$F35,Налоги!$G$26:$G$57,$G35)</f>
        <v>0</v>
      </c>
      <c r="AV35" s="612">
        <f>_xlfn.SUMIFS(Налоги!AU$26:AU$57,Налоги!$F$26:$F$57,$F35,Налоги!$G$26:$G$57,$G35)</f>
        <v>0</v>
      </c>
      <c r="AW35" s="612">
        <f>_xlfn.SUMIFS(Налоги!AV$26:AV$57,Налоги!$F$26:$F$57,$F35,Налоги!$G$26:$G$57,$G35)</f>
        <v>0</v>
      </c>
      <c r="AX35" s="612">
        <f>_xlfn.SUMIFS(Налоги!AW$26:AW$57,Налоги!$F$26:$F$57,$F35,Налоги!$G$26:$G$57,$G35)</f>
        <v>0</v>
      </c>
      <c r="AY35" s="612">
        <f>_xlfn.SUMIFS(Налоги!AX$26:AX$57,Налоги!$F$26:$F$57,$F35,Налоги!$G$26:$G$57,$G35)</f>
        <v>0</v>
      </c>
      <c r="AZ35" s="612">
        <f>_xlfn.SUMIFS(Налоги!AY$26:AY$57,Налоги!$F$26:$F$57,$F35,Налоги!$G$26:$G$57,$G35)</f>
        <v>0</v>
      </c>
      <c r="BA35" s="612">
        <f>_xlfn.SUMIFS(Налоги!AZ$26:AZ$57,Налоги!$F$26:$F$57,$F35,Налоги!$G$26:$G$57,$G35)</f>
        <v>0</v>
      </c>
      <c r="BB35" s="612">
        <f>_xlfn.SUMIFS(Налоги!BA$26:BA$57,Налоги!$F$26:$F$57,$F35,Налоги!$G$26:$G$57,$G35)</f>
        <v>0</v>
      </c>
      <c r="BC35" s="612">
        <f>_xlfn.SUMIFS(Налоги!BB$26:BB$57,Налоги!$F$26:$F$57,$F35,Налоги!$G$26:$G$57,$G35)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1233</v>
      </c>
    </row>
    <row customHeight="1" ht="14.625" hidden="1">
      <c r="E36" s="794">
        <v>15</v>
      </c>
      <c r="F36" s="920" cm="1" t="str">
        <f t="array" ref="F36:F36">OFFSET(G36,-1,-1)</f>
        <v>0</v>
      </c>
      <c r="T36" s="805" cm="1" t="str">
        <f t="array" ref="T36:T36">T35</f>
        <v>false</v>
      </c>
      <c r="AB36" s="157" t="s">
        <v>1009</v>
      </c>
      <c r="AC36" s="164" t="s">
        <v>1330</v>
      </c>
      <c r="AD36" s="157" t="s">
        <v>799</v>
      </c>
      <c r="AE36" s="122"/>
      <c r="AF36" s="122"/>
      <c r="AG36" s="122"/>
      <c r="AH36" s="307">
        <f>AG36-AF36</f>
        <v>0</v>
      </c>
      <c r="AI36" s="122"/>
      <c r="AJ36" s="614"/>
      <c r="AK36" s="1979"/>
      <c r="AL36" s="1979"/>
      <c r="AM36" s="122"/>
      <c r="AN36" s="122"/>
      <c r="AO36" s="122"/>
      <c r="AP36" s="122"/>
      <c r="AQ36" s="122"/>
      <c r="AR36" s="122"/>
      <c r="AS36" s="122"/>
      <c r="AT36" s="614"/>
      <c r="AU36" s="1979"/>
      <c r="AV36" s="1979"/>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1331</v>
      </c>
    </row>
    <row customHeight="1" ht="14.625" hidden="1">
      <c r="E37" s="794">
        <v>15</v>
      </c>
      <c r="F37" s="920" cm="1" t="str">
        <f t="array" ref="F37:F37">OFFSET(G37,-1,-1)</f>
        <v>0</v>
      </c>
      <c r="T37" s="805" cm="1" t="str">
        <f t="array" ref="T37:T37">T36</f>
        <v>false</v>
      </c>
      <c r="AB37" s="157" t="s">
        <v>1332</v>
      </c>
      <c r="AC37" s="872" t="s">
        <v>1333</v>
      </c>
      <c r="AD37" s="157" t="s">
        <v>485</v>
      </c>
      <c r="AE37" s="118"/>
      <c r="AF37" s="118"/>
      <c r="AG37" s="118"/>
      <c r="AH37" s="307">
        <f>AG37-AF37</f>
        <v>0</v>
      </c>
      <c r="AI37" s="118"/>
      <c r="AJ37" s="1133"/>
      <c r="AK37" s="1959"/>
      <c r="AL37" s="1959"/>
      <c r="AM37" s="118"/>
      <c r="AN37" s="118"/>
      <c r="AO37" s="118"/>
      <c r="AP37" s="118"/>
      <c r="AQ37" s="118"/>
      <c r="AR37" s="118"/>
      <c r="AS37" s="118"/>
      <c r="AT37" s="1133"/>
      <c r="AU37" s="1959"/>
      <c r="AV37" s="1959"/>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1334</v>
      </c>
    </row>
    <row customHeight="1" ht="14.625" hidden="1">
      <c r="E38" s="794">
        <v>15</v>
      </c>
      <c r="F38" s="920" cm="1" t="str">
        <f t="array" ref="F38:F38">OFFSET(G38,-1,-1)</f>
        <v>0</v>
      </c>
      <c r="T38" s="805" cm="1" t="str">
        <f t="array" ref="T38:T38">T36</f>
        <v>false</v>
      </c>
      <c r="AB38" s="157" t="s">
        <v>1012</v>
      </c>
      <c r="AC38" s="164" t="s">
        <v>1335</v>
      </c>
      <c r="AD38" s="157" t="s">
        <v>799</v>
      </c>
      <c r="AE38" s="122"/>
      <c r="AF38" s="122"/>
      <c r="AG38" s="122"/>
      <c r="AH38" s="307">
        <f>AG38-AF38</f>
        <v>0</v>
      </c>
      <c r="AI38" s="122"/>
      <c r="AJ38" s="614"/>
      <c r="AK38" s="1979"/>
      <c r="AL38" s="1979"/>
      <c r="AM38" s="122"/>
      <c r="AN38" s="122"/>
      <c r="AO38" s="122"/>
      <c r="AP38" s="122"/>
      <c r="AQ38" s="122"/>
      <c r="AR38" s="122"/>
      <c r="AS38" s="122"/>
      <c r="AT38" s="614"/>
      <c r="AU38" s="1979"/>
      <c r="AV38" s="1979"/>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1336</v>
      </c>
    </row>
    <row customHeight="1" ht="14.625" hidden="1">
      <c r="E39" s="794">
        <v>15</v>
      </c>
      <c r="F39" s="920" cm="1" t="str">
        <f t="array" ref="F39:F39">OFFSET(G39,-1,-1)</f>
        <v>0</v>
      </c>
      <c r="G39" s="190" t="s">
        <v>1096</v>
      </c>
      <c r="T39" s="805" cm="1" t="str">
        <f t="array" ref="T39:T39">T38</f>
        <v>false</v>
      </c>
      <c r="AB39" s="157" t="s">
        <v>1015</v>
      </c>
      <c r="AC39" s="164" t="s">
        <v>1337</v>
      </c>
      <c r="AD39" s="157" t="s">
        <v>799</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1338</v>
      </c>
    </row>
    <row customHeight="1" ht="24.862499999999997" hidden="1">
      <c r="E40" s="794">
        <v>25.5</v>
      </c>
      <c r="F40" s="920" cm="1" t="str">
        <f t="array" ref="F40:F40">OFFSET(G40,-1,-1)</f>
        <v>0</v>
      </c>
      <c r="T40" s="805" cm="1" t="str">
        <f t="array" ref="T40:T40">T39</f>
        <v>false</v>
      </c>
      <c r="AB40" s="157" t="s">
        <v>1018</v>
      </c>
      <c r="AC40" s="164" t="s">
        <v>1339</v>
      </c>
      <c r="AD40" s="157" t="s">
        <v>799</v>
      </c>
      <c r="AE40" s="122"/>
      <c r="AF40" s="122"/>
      <c r="AG40" s="122"/>
      <c r="AH40" s="307">
        <f>AG40-AF40</f>
        <v>0</v>
      </c>
      <c r="AI40" s="122"/>
      <c r="AJ40" s="614"/>
      <c r="AK40" s="1979"/>
      <c r="AL40" s="1979"/>
      <c r="AM40" s="122"/>
      <c r="AN40" s="122"/>
      <c r="AO40" s="122"/>
      <c r="AP40" s="122"/>
      <c r="AQ40" s="122"/>
      <c r="AR40" s="122"/>
      <c r="AS40" s="122"/>
      <c r="AT40" s="614"/>
      <c r="AU40" s="1979"/>
      <c r="AV40" s="1979"/>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1340</v>
      </c>
    </row>
    <row customHeight="1" ht="24.862499999999997" hidden="1">
      <c r="E41" s="794">
        <v>25.5</v>
      </c>
      <c r="F41" s="920" cm="1" t="str">
        <f t="array" ref="F41:F41">OFFSET(G41,-1,-1)</f>
        <v>0</v>
      </c>
      <c r="T41" s="805" cm="1" t="str">
        <f t="array" ref="T41:T41">T40</f>
        <v>false</v>
      </c>
      <c r="AB41" s="157" t="s">
        <v>1231</v>
      </c>
      <c r="AC41" s="164" t="s">
        <v>1341</v>
      </c>
      <c r="AD41" s="157" t="s">
        <v>799</v>
      </c>
      <c r="AE41" s="122"/>
      <c r="AF41" s="122"/>
      <c r="AG41" s="122"/>
      <c r="AH41" s="307">
        <f>AG41-AF41</f>
        <v>0</v>
      </c>
      <c r="AI41" s="122"/>
      <c r="AJ41" s="614"/>
      <c r="AK41" s="1979"/>
      <c r="AL41" s="1979"/>
      <c r="AM41" s="122"/>
      <c r="AN41" s="122"/>
      <c r="AO41" s="122"/>
      <c r="AP41" s="122"/>
      <c r="AQ41" s="122"/>
      <c r="AR41" s="122"/>
      <c r="AS41" s="122"/>
      <c r="AT41" s="614"/>
      <c r="AU41" s="1979"/>
      <c r="AV41" s="1979"/>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1342</v>
      </c>
    </row>
    <row customHeight="1" ht="14.625" hidden="1">
      <c r="E42" s="794">
        <v>15</v>
      </c>
      <c r="F42" s="920" cm="1" t="str">
        <f t="array" ref="F42:F42">OFFSET(G42,-1,-1)</f>
        <v>0</v>
      </c>
      <c r="T42" s="805" cm="1" t="str">
        <f t="array" ref="T42:T42">T41</f>
        <v>false</v>
      </c>
      <c r="AB42" s="157"/>
      <c r="AC42" s="164" t="s">
        <v>1343</v>
      </c>
      <c r="AD42" s="157" t="s">
        <v>799</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587</v>
      </c>
    </row>
    <row customHeight="1" ht="14.625" hidden="1">
      <c r="E43" s="794">
        <v>15</v>
      </c>
      <c r="F43" s="920" cm="1" t="str">
        <f t="array" ref="F43:F43">OFFSET(G43,-1,-1)</f>
        <v>0</v>
      </c>
      <c r="G43" s="190" t="s">
        <v>1226</v>
      </c>
      <c r="T43" s="805" cm="1" t="str">
        <f t="array" ref="T43:T43">T42</f>
        <v>false</v>
      </c>
      <c r="AB43" s="157" t="s">
        <v>440</v>
      </c>
      <c r="AC43" s="164" t="s">
        <v>1344</v>
      </c>
      <c r="AD43" s="157" t="s">
        <v>799</v>
      </c>
      <c r="AE43" s="612">
        <f>_xlfn.SUMIFS(Налоги!AE$26:AE$57,Налоги!$F$26:$F$57,$F43,Налоги!$G$26:$G$57,$G43)</f>
        <v>0</v>
      </c>
      <c r="AF43" s="612">
        <f>_xlfn.SUMIFS(Налоги!AF$26:AF$57,Налоги!$F$26:$F$57,$F43,Налоги!$G$26:$G$57,$G43)</f>
        <v>0</v>
      </c>
      <c r="AG43" s="122">
        <f>_xlfn.SUMIFS(Налоги!AG$26:AG$57,Налоги!$F$26:$F$57,$F43,Налоги!$G$26:$G$57,$G43)</f>
        <v>0</v>
      </c>
      <c r="AH43" s="307">
        <f>AG43-AF43</f>
        <v>0</v>
      </c>
      <c r="AI43" s="612">
        <f>_xlfn.SUMIFS(Налоги!AH$26:AH$57,Налоги!$F$26:$F$57,$F43,Налоги!$G$26:$G$57,$G43)</f>
        <v>0</v>
      </c>
      <c r="AJ43" s="612">
        <f>_xlfn.SUMIFS(Налоги!AI$26:AI$57,Налоги!$F$26:$F$57,$F43,Налоги!$G$26:$G$57,$G43)</f>
        <v>0</v>
      </c>
      <c r="AK43" s="612">
        <f>_xlfn.SUMIFS(Налоги!AJ$26:AJ$57,Налоги!$F$26:$F$57,$F43,Налоги!$G$26:$G$57,$G43)</f>
        <v>0</v>
      </c>
      <c r="AL43" s="612">
        <f>_xlfn.SUMIFS(Налоги!AK$26:AK$57,Налоги!$F$26:$F$57,$F43,Налоги!$G$26:$G$57,$G43)</f>
        <v>0</v>
      </c>
      <c r="AM43" s="612">
        <f>_xlfn.SUMIFS(Налоги!AL$26:AL$57,Налоги!$F$26:$F$57,$F43,Налоги!$G$26:$G$57,$G43)</f>
        <v>0</v>
      </c>
      <c r="AN43" s="612">
        <f>_xlfn.SUMIFS(Налоги!AM$26:AM$57,Налоги!$F$26:$F$57,$F43,Налоги!$G$26:$G$57,$G43)</f>
        <v>0</v>
      </c>
      <c r="AO43" s="612">
        <f>_xlfn.SUMIFS(Налоги!AN$26:AN$57,Налоги!$F$26:$F$57,$F43,Налоги!$G$26:$G$57,$G43)</f>
        <v>0</v>
      </c>
      <c r="AP43" s="612">
        <f>_xlfn.SUMIFS(Налоги!AO$26:AO$57,Налоги!$F$26:$F$57,$F43,Налоги!$G$26:$G$57,$G43)</f>
        <v>0</v>
      </c>
      <c r="AQ43" s="612">
        <f>_xlfn.SUMIFS(Налоги!AP$26:AP$57,Налоги!$F$26:$F$57,$F43,Налоги!$G$26:$G$57,$G43)</f>
        <v>0</v>
      </c>
      <c r="AR43" s="612">
        <f>_xlfn.SUMIFS(Налоги!AQ$26:AQ$57,Налоги!$F$26:$F$57,$F43,Налоги!$G$26:$G$57,$G43)</f>
        <v>0</v>
      </c>
      <c r="AS43" s="612">
        <f>_xlfn.SUMIFS(Налоги!AR$26:AR$57,Налоги!$F$26:$F$57,$F43,Налоги!$G$26:$G$57,$G43)</f>
        <v>0</v>
      </c>
      <c r="AT43" s="612">
        <f>_xlfn.SUMIFS(Налоги!AS$26:AS$57,Налоги!$F$26:$F$57,$F43,Налоги!$G$26:$G$57,$G43)</f>
        <v>0</v>
      </c>
      <c r="AU43" s="612">
        <f>_xlfn.SUMIFS(Налоги!AT$26:AT$57,Налоги!$F$26:$F$57,$F43,Налоги!$G$26:$G$57,$G43)</f>
        <v>0</v>
      </c>
      <c r="AV43" s="612">
        <f>_xlfn.SUMIFS(Налоги!AU$26:AU$57,Налоги!$F$26:$F$57,$F43,Налоги!$G$26:$G$57,$G43)</f>
        <v>0</v>
      </c>
      <c r="AW43" s="612">
        <f>_xlfn.SUMIFS(Налоги!AV$26:AV$57,Налоги!$F$26:$F$57,$F43,Налоги!$G$26:$G$57,$G43)</f>
        <v>0</v>
      </c>
      <c r="AX43" s="612">
        <f>_xlfn.SUMIFS(Налоги!AW$26:AW$57,Налоги!$F$26:$F$57,$F43,Налоги!$G$26:$G$57,$G43)</f>
        <v>0</v>
      </c>
      <c r="AY43" s="612">
        <f>_xlfn.SUMIFS(Налоги!AX$26:AX$57,Налоги!$F$26:$F$57,$F43,Налоги!$G$26:$G$57,$G43)</f>
        <v>0</v>
      </c>
      <c r="AZ43" s="612">
        <f>_xlfn.SUMIFS(Налоги!AY$26:AY$57,Налоги!$F$26:$F$57,$F43,Налоги!$G$26:$G$57,$G43)</f>
        <v>0</v>
      </c>
      <c r="BA43" s="612">
        <f>_xlfn.SUMIFS(Налоги!AZ$26:AZ$57,Налоги!$F$26:$F$57,$F43,Налоги!$G$26:$G$57,$G43)</f>
        <v>0</v>
      </c>
      <c r="BB43" s="612">
        <f>_xlfn.SUMIFS(Налоги!BA$26:BA$57,Налоги!$F$26:$F$57,$F43,Налоги!$G$26:$G$57,$G43)</f>
        <v>0</v>
      </c>
      <c r="BC43" s="612">
        <f>_xlfn.SUMIFS(Налоги!BB$26:BB$57,Налоги!$F$26:$F$57,$F43,Налоги!$G$26:$G$57,$G43)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566</v>
      </c>
    </row>
    <row customHeight="1" ht="27.105" hidden="1">
      <c r="E44" s="794">
        <v>27.8</v>
      </c>
      <c r="F44" s="920" cm="1" t="str">
        <f t="array" ref="F44:F44">OFFSET(G44,-1,-1)</f>
        <v>0</v>
      </c>
      <c r="G44" s="190" t="s">
        <v>1251</v>
      </c>
      <c r="T44" s="805" cm="1" t="str">
        <f t="array" ref="T44:T44">T43</f>
        <v>false</v>
      </c>
      <c r="AB44" s="157" t="s">
        <v>608</v>
      </c>
      <c r="AC44" s="164" t="s">
        <v>1345</v>
      </c>
      <c r="AD44" s="157" t="s">
        <v>799</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1346</v>
      </c>
    </row>
    <row customHeight="1" ht="27.105" hidden="1">
      <c r="E45" s="794">
        <v>27.8</v>
      </c>
      <c r="F45" s="920" cm="1" t="str">
        <f t="array" ref="F45:F45">OFFSET(G45,-1,-1)</f>
        <v>0</v>
      </c>
      <c r="T45" s="805" cm="1" t="str">
        <f t="array" ref="T45:T45">T44</f>
        <v>false</v>
      </c>
      <c r="AB45" s="157" t="s">
        <v>618</v>
      </c>
      <c r="AC45" s="164" t="s">
        <v>1347</v>
      </c>
      <c r="AD45" s="157" t="s">
        <v>799</v>
      </c>
      <c r="AE45" s="122"/>
      <c r="AF45" s="122"/>
      <c r="AG45" s="122"/>
      <c r="AH45" s="307">
        <f>AG45-AF45</f>
        <v>0</v>
      </c>
      <c r="AI45" s="122"/>
      <c r="AJ45" s="614"/>
      <c r="AK45" s="1979"/>
      <c r="AL45" s="1979"/>
      <c r="AM45" s="122"/>
      <c r="AN45" s="122"/>
      <c r="AO45" s="122"/>
      <c r="AP45" s="122"/>
      <c r="AQ45" s="122"/>
      <c r="AR45" s="122"/>
      <c r="AS45" s="122"/>
      <c r="AT45" s="614"/>
      <c r="AU45" s="1979"/>
      <c r="AV45" s="1979"/>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1348</v>
      </c>
    </row>
    <row s="232" customFormat="1" customHeight="1" ht="14.625" hidden="1">
      <c r="E46" s="794">
        <v>15</v>
      </c>
      <c r="F46" s="920" cm="1" t="str">
        <f t="array" ref="F46:F46">OFFSET(G46,-1,-1)</f>
        <v>0</v>
      </c>
      <c r="T46" s="805" cm="1" t="str">
        <f t="array" ref="T46:T46">T44</f>
        <v>false</v>
      </c>
      <c r="AB46" s="158" t="s">
        <v>623</v>
      </c>
      <c r="AC46" s="159" t="s">
        <v>1319</v>
      </c>
      <c r="AD46" s="158" t="s">
        <v>799</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1349</v>
      </c>
    </row>
    <row s="1922"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337</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22" customFormat="1" customHeight="1" ht="13.5">
      <c r="A48" s="217"/>
      <c r="B48" s="217"/>
      <c r="C48" s="217"/>
      <c r="D48" s="217"/>
      <c r="E48" s="794">
        <v>14.1</v>
      </c>
      <c r="F48" s="920" cm="1" t="str">
        <f t="array" ref="F48:F48">OFFSET(G48,-1,-1)</f>
        <v>1</v>
      </c>
      <c r="G48" s="736" t="s">
        <v>1318</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6" t="s">
        <v>1319</v>
      </c>
      <c r="AC48" s="1527"/>
      <c r="AD48" s="302" t="s">
        <v>799</v>
      </c>
      <c r="AE48" s="306" cm="1" t="str">
        <f t="array" ref="AE48:AE48">AE66</f>
        <v>7775.56</v>
      </c>
      <c r="AF48" s="306" cm="1" t="str">
        <f t="array" ref="AF48:AF48">AF66</f>
        <v>39953.66</v>
      </c>
      <c r="AG48" s="306" cm="1" t="str">
        <f t="array" ref="AG48:AG48">AG66</f>
        <v>7305.29</v>
      </c>
      <c r="AH48" s="306" cm="1" t="str">
        <f t="array" ref="AH48:AH48">AH66</f>
        <v>-32648.37</v>
      </c>
      <c r="AI48" s="306" cm="1" t="str">
        <f t="array" ref="AI48:AI48">AI66</f>
        <v>8093.4</v>
      </c>
      <c r="AJ48" s="306" cm="1" t="str">
        <f t="array" ref="AJ48:AJ48">AJ66</f>
        <v>55695.66887</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825.0349</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-89.806077791781</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92"/>
      <c r="BO48" s="1792"/>
      <c r="BP48" s="1792"/>
      <c r="BQ48" s="217"/>
      <c r="BR48" s="217"/>
      <c r="BS48" s="1182" t="s">
        <v>1320</v>
      </c>
    </row>
    <row s="1642" customFormat="1" customHeight="1" ht="27">
      <c r="A49" s="225"/>
      <c r="B49" s="925"/>
      <c r="C49" s="225"/>
      <c r="D49" s="225"/>
      <c r="E49" s="794">
        <v>27.8</v>
      </c>
      <c r="F49" s="920" cm="1" t="str">
        <f t="array" ref="F49:F49">OFFSET(G49,-1,-1)</f>
        <v>1</v>
      </c>
      <c r="G49" s="190" t="s">
        <v>1146</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436</v>
      </c>
      <c r="AC49" s="164" t="s">
        <v>47</v>
      </c>
      <c r="AD49" s="157" t="s">
        <v>799</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81">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92"/>
      <c r="BO49" s="1792"/>
      <c r="BP49" s="1792"/>
      <c r="BQ49" s="227"/>
      <c r="BR49" s="227"/>
      <c r="BS49" s="1182" t="s">
        <v>1321</v>
      </c>
    </row>
    <row s="1642" customFormat="1" customHeight="1" ht="14.25">
      <c r="A50" s="225"/>
      <c r="B50" s="925"/>
      <c r="C50" s="225"/>
      <c r="D50" s="225"/>
      <c r="E50" s="794">
        <v>15</v>
      </c>
      <c r="F50" s="920" cm="1" t="str">
        <f t="array" ref="F50:F50">OFFSET(G50,-1,-1)</f>
        <v>1</v>
      </c>
      <c r="G50" s="736" t="s">
        <v>1122</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899</v>
      </c>
      <c r="AC50" s="164" t="s">
        <v>1322</v>
      </c>
      <c r="AD50" s="157" t="s">
        <v>799</v>
      </c>
      <c r="AE50" s="307">
        <f>_xlfn.SUMIFS(Аренда!AE$26:AE$51,Аренда!$F$26:$F$51,$F50,Аренда!$G$26:$G$51,$G50)</f>
        <v>0</v>
      </c>
      <c r="AF50" s="307">
        <f>_xlfn.SUMIFS(Аренда!AF$26:AF$51,Аренда!$F$26:$F$51,$F50,Аренда!$G$26:$G$51,$G50)</f>
        <v>0</v>
      </c>
      <c r="AG50" s="1860">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8469.83</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92"/>
      <c r="BO50" s="1792"/>
      <c r="BP50" s="1792"/>
      <c r="BQ50" s="227"/>
      <c r="BR50" s="227"/>
      <c r="BS50" s="1182" t="s">
        <v>1125</v>
      </c>
    </row>
    <row s="1642" customFormat="1" customHeight="1" ht="14.25">
      <c r="A51" s="225"/>
      <c r="B51" s="925"/>
      <c r="C51" s="225"/>
      <c r="D51" s="225"/>
      <c r="E51" s="794">
        <v>15</v>
      </c>
      <c r="F51" s="920" cm="1" t="str">
        <f t="array" ref="F51:F51">OFFSET(G51,-1,-1)</f>
        <v>1</v>
      </c>
      <c r="G51" s="190" t="s">
        <v>1126</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901</v>
      </c>
      <c r="AC51" s="164" t="s">
        <v>1127</v>
      </c>
      <c r="AD51" s="157" t="s">
        <v>799</v>
      </c>
      <c r="AE51" s="307">
        <f>_xlfn.SUMIFS(Аренда!AE$26:AE$51,Аренда!$F$26:$F$51,$F51,Аренда!$G$26:$G$51,$G51)</f>
        <v>0</v>
      </c>
      <c r="AF51" s="307">
        <f>_xlfn.SUMIFS(Аренда!AF$26:AF$51,Аренда!$F$26:$F$51,$F51,Аренда!$G$26:$G$51,$G51)</f>
        <v>0</v>
      </c>
      <c r="AG51" s="1860">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92"/>
      <c r="BO51" s="1792"/>
      <c r="BP51" s="1792"/>
      <c r="BQ51" s="227"/>
      <c r="BR51" s="227"/>
      <c r="BS51" s="1182" t="s">
        <v>1323</v>
      </c>
    </row>
    <row s="1642"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905</v>
      </c>
      <c r="AC52" s="164" t="s">
        <v>1324</v>
      </c>
      <c r="AD52" s="157" t="s">
        <v>799</v>
      </c>
      <c r="AE52" s="612">
        <f>SUM(AE53:AE55)</f>
        <v>0</v>
      </c>
      <c r="AF52" s="612">
        <f>SUM(AF53:AF55)</f>
        <v>1274.28</v>
      </c>
      <c r="AG52" s="1981">
        <f>SUM(AG53:AG55)</f>
        <v>0</v>
      </c>
      <c r="AH52" s="307">
        <f>AG52-AF52</f>
        <v>-1274.28</v>
      </c>
      <c r="AI52" s="612">
        <f>SUM(AI53:AI55)</f>
        <v>0</v>
      </c>
      <c r="AJ52" s="612">
        <f>SUM(AJ53:AJ55)</f>
        <v>1090.31</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-7496</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92"/>
      <c r="BO52" s="1792"/>
      <c r="BP52" s="1792"/>
      <c r="BQ52" s="227"/>
      <c r="BR52" s="227"/>
      <c r="BS52" s="1182" t="s">
        <v>1325</v>
      </c>
    </row>
    <row s="1642" customFormat="1" customHeight="1" ht="39">
      <c r="A53" s="225"/>
      <c r="B53" s="925"/>
      <c r="C53" s="225"/>
      <c r="D53" s="225"/>
      <c r="E53" s="794">
        <v>40.5</v>
      </c>
      <c r="F53" s="920" cm="1" t="str">
        <f t="array" ref="F53:F53">OFFSET(G53,-1,-1)</f>
        <v>1</v>
      </c>
      <c r="G53" s="190" t="s">
        <v>1210</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994</v>
      </c>
      <c r="AC53" s="164" t="s">
        <v>1211</v>
      </c>
      <c r="AD53" s="157" t="s">
        <v>799</v>
      </c>
      <c r="AE53" s="612">
        <f>_xlfn.SUMIFS(Налоги!AE$26:AE$57,Налоги!$F$26:$F$57,$F53,Налоги!$G$26:$G$57,$G53)</f>
        <v>0</v>
      </c>
      <c r="AF53" s="612">
        <f>_xlfn.SUMIFS(Налоги!AF$26:AF$57,Налоги!$F$26:$F$57,$F53,Налоги!$G$26:$G$57,$G53)</f>
        <v>0</v>
      </c>
      <c r="AG53" s="1981">
        <f>_xlfn.SUMIFS(Налоги!AG$26:AG$57,Налоги!$F$26:$F$57,$F53,Налоги!$G$26:$G$57,$G53)</f>
        <v>0</v>
      </c>
      <c r="AH53" s="307">
        <f>AG53-AF53</f>
        <v>0</v>
      </c>
      <c r="AI53" s="612">
        <f>_xlfn.SUMIFS(Налоги!AH$26:AH$57,Налоги!$F$26:$F$57,$F53,Налоги!$G$26:$G$57,$G53)</f>
        <v>0</v>
      </c>
      <c r="AJ53" s="612">
        <f>_xlfn.SUMIFS(Налоги!AI$26:AI$57,Налоги!$F$26:$F$57,$F53,Налоги!$G$26:$G$57,$G53)</f>
        <v>0</v>
      </c>
      <c r="AK53" s="612">
        <f>_xlfn.SUMIFS(Налоги!AJ$26:AJ$57,Налоги!$F$26:$F$57,$F53,Налоги!$G$26:$G$57,$G53)</f>
        <v>0</v>
      </c>
      <c r="AL53" s="612">
        <f>_xlfn.SUMIFS(Налоги!AK$26:AK$57,Налоги!$F$26:$F$57,$F53,Налоги!$G$26:$G$57,$G53)</f>
        <v>0</v>
      </c>
      <c r="AM53" s="612">
        <f>_xlfn.SUMIFS(Налоги!AL$26:AL$57,Налоги!$F$26:$F$57,$F53,Налоги!$G$26:$G$57,$G53)</f>
        <v>0</v>
      </c>
      <c r="AN53" s="612">
        <f>_xlfn.SUMIFS(Налоги!AM$26:AM$57,Налоги!$F$26:$F$57,$F53,Налоги!$G$26:$G$57,$G53)</f>
        <v>0</v>
      </c>
      <c r="AO53" s="612">
        <f>_xlfn.SUMIFS(Налоги!AN$26:AN$57,Налоги!$F$26:$F$57,$F53,Налоги!$G$26:$G$57,$G53)</f>
        <v>0</v>
      </c>
      <c r="AP53" s="612">
        <f>_xlfn.SUMIFS(Налоги!AO$26:AO$57,Налоги!$F$26:$F$57,$F53,Налоги!$G$26:$G$57,$G53)</f>
        <v>0</v>
      </c>
      <c r="AQ53" s="612">
        <f>_xlfn.SUMIFS(Налоги!AP$26:AP$57,Налоги!$F$26:$F$57,$F53,Налоги!$G$26:$G$57,$G53)</f>
        <v>0</v>
      </c>
      <c r="AR53" s="612">
        <f>_xlfn.SUMIFS(Налоги!AQ$26:AQ$57,Налоги!$F$26:$F$57,$F53,Налоги!$G$26:$G$57,$G53)</f>
        <v>0</v>
      </c>
      <c r="AS53" s="612">
        <f>_xlfn.SUMIFS(Налоги!AR$26:AR$57,Налоги!$F$26:$F$57,$F53,Налоги!$G$26:$G$57,$G53)</f>
        <v>0</v>
      </c>
      <c r="AT53" s="612">
        <f>_xlfn.SUMIFS(Налоги!AS$26:AS$57,Налоги!$F$26:$F$57,$F53,Налоги!$G$26:$G$57,$G53)</f>
        <v>0</v>
      </c>
      <c r="AU53" s="612">
        <f>_xlfn.SUMIFS(Налоги!AT$26:AT$57,Налоги!$F$26:$F$57,$F53,Налоги!$G$26:$G$57,$G53)</f>
        <v>0</v>
      </c>
      <c r="AV53" s="612">
        <f>_xlfn.SUMIFS(Налоги!AU$26:AU$57,Налоги!$F$26:$F$57,$F53,Налоги!$G$26:$G$57,$G53)</f>
        <v>0</v>
      </c>
      <c r="AW53" s="612">
        <f>_xlfn.SUMIFS(Налоги!AV$26:AV$57,Налоги!$F$26:$F$57,$F53,Налоги!$G$26:$G$57,$G53)</f>
        <v>0</v>
      </c>
      <c r="AX53" s="612">
        <f>_xlfn.SUMIFS(Налоги!AW$26:AW$57,Налоги!$F$26:$F$57,$F53,Налоги!$G$26:$G$57,$G53)</f>
        <v>0</v>
      </c>
      <c r="AY53" s="612">
        <f>_xlfn.SUMIFS(Налоги!AX$26:AX$57,Налоги!$F$26:$F$57,$F53,Налоги!$G$26:$G$57,$G53)</f>
        <v>0</v>
      </c>
      <c r="AZ53" s="612">
        <f>_xlfn.SUMIFS(Налоги!AY$26:AY$57,Налоги!$F$26:$F$57,$F53,Налоги!$G$26:$G$57,$G53)</f>
        <v>0</v>
      </c>
      <c r="BA53" s="612">
        <f>_xlfn.SUMIFS(Налоги!AZ$26:AZ$57,Налоги!$F$26:$F$57,$F53,Налоги!$G$26:$G$57,$G53)</f>
        <v>0</v>
      </c>
      <c r="BB53" s="612">
        <f>_xlfn.SUMIFS(Налоги!BA$26:BA$57,Налоги!$F$26:$F$57,$F53,Налоги!$G$26:$G$57,$G53)</f>
        <v>0</v>
      </c>
      <c r="BC53" s="612">
        <f>_xlfn.SUMIFS(Налоги!BB$26:BB$57,Налоги!$F$26:$F$57,$F53,Налоги!$G$26:$G$57,$G53)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92"/>
      <c r="BO53" s="1792"/>
      <c r="BP53" s="1792"/>
      <c r="BQ53" s="227"/>
      <c r="BR53" s="227"/>
      <c r="BS53" s="1182" t="s">
        <v>1326</v>
      </c>
    </row>
    <row s="1982" customFormat="1" customHeight="1" ht="14.25">
      <c r="A54" s="232"/>
      <c r="B54" s="232"/>
      <c r="C54" s="232"/>
      <c r="D54" s="232"/>
      <c r="E54" s="794">
        <v>15</v>
      </c>
      <c r="F54" s="920" cm="1" t="str">
        <f t="array" ref="F54:F54">OFFSET(G54,-1,-1)</f>
        <v>1</v>
      </c>
      <c r="G54" s="190" t="s">
        <v>1217</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997</v>
      </c>
      <c r="AC54" s="164" t="s">
        <v>1327</v>
      </c>
      <c r="AD54" s="157" t="s">
        <v>799</v>
      </c>
      <c r="AE54" s="612">
        <f>_xlfn.SUMIFS(Налоги!AE$26:AE$57,Налоги!$F$26:$F$57,$F54,Налоги!$G$26:$G$57,$G54)</f>
        <v>0</v>
      </c>
      <c r="AF54" s="612">
        <f>_xlfn.SUMIFS(Налоги!AF$26:AF$57,Налоги!$F$26:$F$57,$F54,Налоги!$G$26:$G$57,$G54)</f>
        <v>0</v>
      </c>
      <c r="AG54" s="1981">
        <f>_xlfn.SUMIFS(Налоги!AG$26:AG$57,Налоги!$F$26:$F$57,$F54,Налоги!$G$26:$G$57,$G54)</f>
        <v>0</v>
      </c>
      <c r="AH54" s="307">
        <f>AG54-AF54</f>
        <v>0</v>
      </c>
      <c r="AI54" s="612">
        <f>_xlfn.SUMIFS(Налоги!AH$26:AH$57,Налоги!$F$26:$F$57,$F54,Налоги!$G$26:$G$57,$G54)</f>
        <v>0</v>
      </c>
      <c r="AJ54" s="612">
        <f>_xlfn.SUMIFS(Налоги!AI$26:AI$57,Налоги!$F$26:$F$57,$F54,Налоги!$G$26:$G$57,$G54)</f>
        <v>0</v>
      </c>
      <c r="AK54" s="612">
        <f>_xlfn.SUMIFS(Налоги!AJ$26:AJ$57,Налоги!$F$26:$F$57,$F54,Налоги!$G$26:$G$57,$G54)</f>
        <v>0</v>
      </c>
      <c r="AL54" s="612">
        <f>_xlfn.SUMIFS(Налоги!AK$26:AK$57,Налоги!$F$26:$F$57,$F54,Налоги!$G$26:$G$57,$G54)</f>
        <v>0</v>
      </c>
      <c r="AM54" s="612">
        <f>_xlfn.SUMIFS(Налоги!AL$26:AL$57,Налоги!$F$26:$F$57,$F54,Налоги!$G$26:$G$57,$G54)</f>
        <v>0</v>
      </c>
      <c r="AN54" s="612">
        <f>_xlfn.SUMIFS(Налоги!AM$26:AM$57,Налоги!$F$26:$F$57,$F54,Налоги!$G$26:$G$57,$G54)</f>
        <v>0</v>
      </c>
      <c r="AO54" s="612">
        <f>_xlfn.SUMIFS(Налоги!AN$26:AN$57,Налоги!$F$26:$F$57,$F54,Налоги!$G$26:$G$57,$G54)</f>
        <v>0</v>
      </c>
      <c r="AP54" s="612">
        <f>_xlfn.SUMIFS(Налоги!AO$26:AO$57,Налоги!$F$26:$F$57,$F54,Налоги!$G$26:$G$57,$G54)</f>
        <v>0</v>
      </c>
      <c r="AQ54" s="612">
        <f>_xlfn.SUMIFS(Налоги!AP$26:AP$57,Налоги!$F$26:$F$57,$F54,Налоги!$G$26:$G$57,$G54)</f>
        <v>0</v>
      </c>
      <c r="AR54" s="612">
        <f>_xlfn.SUMIFS(Налоги!AQ$26:AQ$57,Налоги!$F$26:$F$57,$F54,Налоги!$G$26:$G$57,$G54)</f>
        <v>0</v>
      </c>
      <c r="AS54" s="612">
        <f>_xlfn.SUMIFS(Налоги!AR$26:AR$57,Налоги!$F$26:$F$57,$F54,Налоги!$G$26:$G$57,$G54)</f>
        <v>0</v>
      </c>
      <c r="AT54" s="612">
        <f>_xlfn.SUMIFS(Налоги!AS$26:AS$57,Налоги!$F$26:$F$57,$F54,Налоги!$G$26:$G$57,$G54)</f>
        <v>0</v>
      </c>
      <c r="AU54" s="612">
        <f>_xlfn.SUMIFS(Налоги!AT$26:AT$57,Налоги!$F$26:$F$57,$F54,Налоги!$G$26:$G$57,$G54)</f>
        <v>0</v>
      </c>
      <c r="AV54" s="612">
        <f>_xlfn.SUMIFS(Налоги!AU$26:AU$57,Налоги!$F$26:$F$57,$F54,Налоги!$G$26:$G$57,$G54)</f>
        <v>0</v>
      </c>
      <c r="AW54" s="612">
        <f>_xlfn.SUMIFS(Налоги!AV$26:AV$57,Налоги!$F$26:$F$57,$F54,Налоги!$G$26:$G$57,$G54)</f>
        <v>0</v>
      </c>
      <c r="AX54" s="612">
        <f>_xlfn.SUMIFS(Налоги!AW$26:AW$57,Налоги!$F$26:$F$57,$F54,Налоги!$G$26:$G$57,$G54)</f>
        <v>0</v>
      </c>
      <c r="AY54" s="612">
        <f>_xlfn.SUMIFS(Налоги!AX$26:AX$57,Налоги!$F$26:$F$57,$F54,Налоги!$G$26:$G$57,$G54)</f>
        <v>0</v>
      </c>
      <c r="AZ54" s="612">
        <f>_xlfn.SUMIFS(Налоги!AY$26:AY$57,Налоги!$F$26:$F$57,$F54,Налоги!$G$26:$G$57,$G54)</f>
        <v>0</v>
      </c>
      <c r="BA54" s="612">
        <f>_xlfn.SUMIFS(Налоги!AZ$26:AZ$57,Налоги!$F$26:$F$57,$F54,Налоги!$G$26:$G$57,$G54)</f>
        <v>0</v>
      </c>
      <c r="BB54" s="612">
        <f>_xlfn.SUMIFS(Налоги!BA$26:BA$57,Налоги!$F$26:$F$57,$F54,Налоги!$G$26:$G$57,$G54)</f>
        <v>0</v>
      </c>
      <c r="BC54" s="612">
        <f>_xlfn.SUMIFS(Налоги!BB$26:BB$57,Налоги!$F$26:$F$57,$F54,Налоги!$G$26:$G$57,$G54)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92"/>
      <c r="BO54" s="1792"/>
      <c r="BP54" s="1792"/>
      <c r="BQ54" s="232"/>
      <c r="BR54" s="232"/>
      <c r="BS54" s="1182" t="s">
        <v>1328</v>
      </c>
    </row>
    <row s="1983" customFormat="1" customHeight="1" ht="14.25">
      <c r="A55" s="232"/>
      <c r="B55" s="232"/>
      <c r="C55" s="232"/>
      <c r="D55" s="232"/>
      <c r="E55" s="794">
        <v>15</v>
      </c>
      <c r="F55" s="920" cm="1" t="str">
        <f t="array" ref="F55:F55">OFFSET(G55,-1,-1)</f>
        <v>1</v>
      </c>
      <c r="G55" s="190" t="s">
        <v>1213</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1000</v>
      </c>
      <c r="AC55" s="164" t="s">
        <v>1329</v>
      </c>
      <c r="AD55" s="157" t="s">
        <v>799</v>
      </c>
      <c r="AE55" s="612">
        <f>_xlfn.SUMIFS(Налоги!AE$26:AE$57,Налоги!$F$26:$F$57,$F55,Налоги!$G$26:$G$57,$G55)</f>
        <v>0</v>
      </c>
      <c r="AF55" s="612">
        <f>_xlfn.SUMIFS(Налоги!AF$26:AF$57,Налоги!$F$26:$F$57,$F55,Налоги!$G$26:$G$57,$G55)</f>
        <v>1274.28</v>
      </c>
      <c r="AG55" s="1981">
        <f>_xlfn.SUMIFS(Налоги!AG$26:AG$57,Налоги!$F$26:$F$57,$F55,Налоги!$G$26:$G$57,$G55)</f>
        <v>0</v>
      </c>
      <c r="AH55" s="307">
        <f>AG55-AF55</f>
        <v>-1274.28</v>
      </c>
      <c r="AI55" s="612">
        <f>_xlfn.SUMIFS(Налоги!AH$26:AH$57,Налоги!$F$26:$F$57,$F55,Налоги!$G$26:$G$57,$G55)</f>
        <v>0</v>
      </c>
      <c r="AJ55" s="612">
        <f>_xlfn.SUMIFS(Налоги!AI$26:AI$57,Налоги!$F$26:$F$57,$F55,Налоги!$G$26:$G$57,$G55)</f>
        <v>1090.31</v>
      </c>
      <c r="AK55" s="612">
        <f>_xlfn.SUMIFS(Налоги!AJ$26:AJ$57,Налоги!$F$26:$F$57,$F55,Налоги!$G$26:$G$57,$G55)</f>
        <v>0</v>
      </c>
      <c r="AL55" s="612">
        <f>_xlfn.SUMIFS(Налоги!AK$26:AK$57,Налоги!$F$26:$F$57,$F55,Налоги!$G$26:$G$57,$G55)</f>
        <v>0</v>
      </c>
      <c r="AM55" s="612">
        <f>_xlfn.SUMIFS(Налоги!AL$26:AL$57,Налоги!$F$26:$F$57,$F55,Налоги!$G$26:$G$57,$G55)</f>
        <v>0</v>
      </c>
      <c r="AN55" s="612">
        <f>_xlfn.SUMIFS(Налоги!AM$26:AM$57,Налоги!$F$26:$F$57,$F55,Налоги!$G$26:$G$57,$G55)</f>
        <v>0</v>
      </c>
      <c r="AO55" s="612">
        <f>_xlfn.SUMIFS(Налоги!AN$26:AN$57,Налоги!$F$26:$F$57,$F55,Налоги!$G$26:$G$57,$G55)</f>
        <v>0</v>
      </c>
      <c r="AP55" s="612">
        <f>_xlfn.SUMIFS(Налоги!AO$26:AO$57,Налоги!$F$26:$F$57,$F55,Налоги!$G$26:$G$57,$G55)</f>
        <v>0</v>
      </c>
      <c r="AQ55" s="612">
        <f>_xlfn.SUMIFS(Налоги!AP$26:AP$57,Налоги!$F$26:$F$57,$F55,Налоги!$G$26:$G$57,$G55)</f>
        <v>0</v>
      </c>
      <c r="AR55" s="612">
        <f>_xlfn.SUMIFS(Налоги!AQ$26:AQ$57,Налоги!$F$26:$F$57,$F55,Налоги!$G$26:$G$57,$G55)</f>
        <v>0</v>
      </c>
      <c r="AS55" s="612">
        <f>_xlfn.SUMIFS(Налоги!AR$26:AR$57,Налоги!$F$26:$F$57,$F55,Налоги!$G$26:$G$57,$G55)</f>
        <v>0</v>
      </c>
      <c r="AT55" s="612">
        <f>_xlfn.SUMIFS(Налоги!AS$26:AS$57,Налоги!$F$26:$F$57,$F55,Налоги!$G$26:$G$57,$G55)</f>
        <v>-7496</v>
      </c>
      <c r="AU55" s="612">
        <f>_xlfn.SUMIFS(Налоги!AT$26:AT$57,Налоги!$F$26:$F$57,$F55,Налоги!$G$26:$G$57,$G55)</f>
        <v>0</v>
      </c>
      <c r="AV55" s="612">
        <f>_xlfn.SUMIFS(Налоги!AU$26:AU$57,Налоги!$F$26:$F$57,$F55,Налоги!$G$26:$G$57,$G55)</f>
        <v>0</v>
      </c>
      <c r="AW55" s="612">
        <f>_xlfn.SUMIFS(Налоги!AV$26:AV$57,Налоги!$F$26:$F$57,$F55,Налоги!$G$26:$G$57,$G55)</f>
        <v>0</v>
      </c>
      <c r="AX55" s="612">
        <f>_xlfn.SUMIFS(Налоги!AW$26:AW$57,Налоги!$F$26:$F$57,$F55,Налоги!$G$26:$G$57,$G55)</f>
        <v>0</v>
      </c>
      <c r="AY55" s="612">
        <f>_xlfn.SUMIFS(Налоги!AX$26:AX$57,Налоги!$F$26:$F$57,$F55,Налоги!$G$26:$G$57,$G55)</f>
        <v>0</v>
      </c>
      <c r="AZ55" s="612">
        <f>_xlfn.SUMIFS(Налоги!AY$26:AY$57,Налоги!$F$26:$F$57,$F55,Налоги!$G$26:$G$57,$G55)</f>
        <v>0</v>
      </c>
      <c r="BA55" s="612">
        <f>_xlfn.SUMIFS(Налоги!AZ$26:AZ$57,Налоги!$F$26:$F$57,$F55,Налоги!$G$26:$G$57,$G55)</f>
        <v>0</v>
      </c>
      <c r="BB55" s="612">
        <f>_xlfn.SUMIFS(Налоги!BA$26:BA$57,Налоги!$F$26:$F$57,$F55,Налоги!$G$26:$G$57,$G55)</f>
        <v>0</v>
      </c>
      <c r="BC55" s="612">
        <f>_xlfn.SUMIFS(Налоги!BB$26:BB$57,Налоги!$F$26:$F$57,$F55,Налоги!$G$26:$G$57,$G55)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92"/>
      <c r="BO55" s="1792"/>
      <c r="BP55" s="1792"/>
      <c r="BQ55" s="232"/>
      <c r="BR55" s="232"/>
      <c r="BS55" s="1182" t="s">
        <v>1233</v>
      </c>
    </row>
    <row s="1642"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1009</v>
      </c>
      <c r="AC56" s="164" t="s">
        <v>1330</v>
      </c>
      <c r="AD56" s="157" t="s">
        <v>799</v>
      </c>
      <c r="AE56" s="1981">
        <v>5525.33</v>
      </c>
      <c r="AF56" s="1981">
        <v>5055.06</v>
      </c>
      <c r="AG56" s="1981" cm="1" t="str">
        <f t="array" ref="AG56:AG56">AF56</f>
        <v>5055.06</v>
      </c>
      <c r="AH56" s="307">
        <f>AG56-AF56</f>
        <v>0</v>
      </c>
      <c r="AI56" s="1981">
        <v>5845.8</v>
      </c>
      <c r="AJ56" s="614">
        <v>7713.74</v>
      </c>
      <c r="AK56" s="1979"/>
      <c r="AL56" s="1979"/>
      <c r="AM56" s="1981"/>
      <c r="AN56" s="1981"/>
      <c r="AO56" s="1981"/>
      <c r="AP56" s="1981"/>
      <c r="AQ56" s="1981"/>
      <c r="AR56" s="1981"/>
      <c r="AS56" s="1981"/>
      <c r="AT56" s="614">
        <v>6082.5049</v>
      </c>
      <c r="AU56" s="1979"/>
      <c r="AV56" s="1979"/>
      <c r="AW56" s="1981"/>
      <c r="AX56" s="1981"/>
      <c r="AY56" s="1981"/>
      <c r="AZ56" s="1981"/>
      <c r="BA56" s="1981"/>
      <c r="BB56" s="1981"/>
      <c r="BC56" s="1981"/>
      <c r="BD56" s="307">
        <f>IF(AI56=0,0,(AT56-AI56)/AI56*100)</f>
        <v>4.04914468507304</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92"/>
      <c r="BO56" s="1792"/>
      <c r="BP56" s="1792"/>
      <c r="BQ56" s="227"/>
      <c r="BR56" s="227"/>
      <c r="BS56" s="1182" t="s">
        <v>1331</v>
      </c>
    </row>
    <row s="1642"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1332</v>
      </c>
      <c r="AC57" s="872" t="s">
        <v>1333</v>
      </c>
      <c r="AD57" s="157" t="s">
        <v>485</v>
      </c>
      <c r="AE57" s="1968"/>
      <c r="AF57" s="1968"/>
      <c r="AG57" s="1968"/>
      <c r="AH57" s="307">
        <f>AG57-AF57</f>
        <v>0</v>
      </c>
      <c r="AI57" s="1968"/>
      <c r="AJ57" s="1133"/>
      <c r="AK57" s="1959"/>
      <c r="AL57" s="1959"/>
      <c r="AM57" s="1968"/>
      <c r="AN57" s="1968"/>
      <c r="AO57" s="1968"/>
      <c r="AP57" s="1968"/>
      <c r="AQ57" s="1968"/>
      <c r="AR57" s="1968"/>
      <c r="AS57" s="1968"/>
      <c r="AT57" s="1133"/>
      <c r="AU57" s="1959"/>
      <c r="AV57" s="1959"/>
      <c r="AW57" s="1968"/>
      <c r="AX57" s="1968"/>
      <c r="AY57" s="1968"/>
      <c r="AZ57" s="1968"/>
      <c r="BA57" s="1968"/>
      <c r="BB57" s="1968"/>
      <c r="BC57" s="1968"/>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92"/>
      <c r="BO57" s="1792"/>
      <c r="BP57" s="1792"/>
      <c r="BQ57" s="227"/>
      <c r="BR57" s="227"/>
      <c r="BS57" s="1182" t="s">
        <v>1334</v>
      </c>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1012</v>
      </c>
      <c r="AC58" s="164" t="s">
        <v>1335</v>
      </c>
      <c r="AD58" s="157" t="s">
        <v>799</v>
      </c>
      <c r="AE58" s="1981"/>
      <c r="AF58" s="1981"/>
      <c r="AG58" s="1981"/>
      <c r="AH58" s="307">
        <f>AG58-AF58</f>
        <v>0</v>
      </c>
      <c r="AI58" s="1981"/>
      <c r="AJ58" s="614"/>
      <c r="AK58" s="1979"/>
      <c r="AL58" s="1979"/>
      <c r="AM58" s="1981"/>
      <c r="AN58" s="1981"/>
      <c r="AO58" s="1981"/>
      <c r="AP58" s="1981"/>
      <c r="AQ58" s="1981"/>
      <c r="AR58" s="1981"/>
      <c r="AS58" s="1981"/>
      <c r="AT58" s="614"/>
      <c r="AU58" s="1979"/>
      <c r="AV58" s="1979"/>
      <c r="AW58" s="1981"/>
      <c r="AX58" s="1981"/>
      <c r="AY58" s="1981"/>
      <c r="AZ58" s="1981"/>
      <c r="BA58" s="1981"/>
      <c r="BB58" s="1981"/>
      <c r="BC58" s="1981"/>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92"/>
      <c r="BO58" s="1792"/>
      <c r="BP58" s="1792"/>
      <c r="BQ58" s="227"/>
      <c r="BR58" s="227"/>
      <c r="BS58" s="1182" t="s">
        <v>1336</v>
      </c>
    </row>
    <row s="1642" customFormat="1" customHeight="1" ht="14.25">
      <c r="A59" s="225"/>
      <c r="B59" s="925"/>
      <c r="C59" s="225"/>
      <c r="D59" s="225"/>
      <c r="E59" s="794">
        <v>15</v>
      </c>
      <c r="F59" s="920" cm="1" t="str">
        <f t="array" ref="F59:F59">OFFSET(G59,-1,-1)</f>
        <v>1</v>
      </c>
      <c r="G59" s="190" t="s">
        <v>1096</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1015</v>
      </c>
      <c r="AC59" s="164" t="s">
        <v>1337</v>
      </c>
      <c r="AD59" s="157" t="s">
        <v>799</v>
      </c>
      <c r="AE59" s="612">
        <f>_xlfn.SUMIFS(Амортизация!AE$26:AE$225,Амортизация!$F$26:$F$225,$F59,Амортизация!$G$26:$G$225,$G59)</f>
        <v>2250.23</v>
      </c>
      <c r="AF59" s="612">
        <f>_xlfn.SUMIFS(Амортизация!AF$26:AF$225,Амортизация!$F$26:$F$225,$F59,Амортизация!$G$26:$G$225,$G59)</f>
        <v>18621.95</v>
      </c>
      <c r="AG59" s="1981">
        <f>_xlfn.SUMIFS(Амортизация!AG$26:AG$225,Амортизация!$F$26:$F$225,$F59,Амортизация!$G$26:$G$225,$G59)</f>
        <v>2250.23</v>
      </c>
      <c r="AH59" s="307">
        <f>AG59-AF59</f>
        <v>-16371.72</v>
      </c>
      <c r="AI59" s="612">
        <f>_xlfn.SUMIFS(Амортизация!AH$26:AH$225,Амортизация!$F$26:$F$225,$F59,Амортизация!$G$26:$G$225,$G59)</f>
        <v>2247.6</v>
      </c>
      <c r="AJ59" s="612">
        <f>_xlfn.SUMIFS(Амортизация!AI$26:AI$225,Амортизация!$F$26:$F$225,$F59,Амортизация!$G$26:$G$225,$G59)</f>
        <v>6278.18886999999</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2238.53</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-0.403541555436898</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92"/>
      <c r="BO59" s="1792"/>
      <c r="BP59" s="1792"/>
      <c r="BQ59" s="227"/>
      <c r="BR59" s="227"/>
      <c r="BS59" s="1182" t="s">
        <v>1338</v>
      </c>
    </row>
    <row s="1642"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1018</v>
      </c>
      <c r="AC60" s="164" t="s">
        <v>1339</v>
      </c>
      <c r="AD60" s="157" t="s">
        <v>799</v>
      </c>
      <c r="AE60" s="1981"/>
      <c r="AF60" s="1981">
        <v>15002.37</v>
      </c>
      <c r="AG60" s="1981"/>
      <c r="AH60" s="307">
        <f>AG60-AF60</f>
        <v>-15002.37</v>
      </c>
      <c r="AI60" s="1981"/>
      <c r="AJ60" s="614">
        <v>32143.6</v>
      </c>
      <c r="AK60" s="1979"/>
      <c r="AL60" s="1979"/>
      <c r="AM60" s="1981"/>
      <c r="AN60" s="1981"/>
      <c r="AO60" s="1981"/>
      <c r="AP60" s="1981"/>
      <c r="AQ60" s="1981"/>
      <c r="AR60" s="1981"/>
      <c r="AS60" s="1981"/>
      <c r="AT60" s="614"/>
      <c r="AU60" s="1979"/>
      <c r="AV60" s="1979"/>
      <c r="AW60" s="1981"/>
      <c r="AX60" s="1981"/>
      <c r="AY60" s="1981"/>
      <c r="AZ60" s="1981"/>
      <c r="BA60" s="1981"/>
      <c r="BB60" s="1981"/>
      <c r="BC60" s="1981"/>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92"/>
      <c r="BO60" s="1792"/>
      <c r="BP60" s="1792"/>
      <c r="BQ60" s="227"/>
      <c r="BR60" s="227"/>
      <c r="BS60" s="1182" t="s">
        <v>1340</v>
      </c>
    </row>
    <row s="1642"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1231</v>
      </c>
      <c r="AC61" s="164" t="s">
        <v>1341</v>
      </c>
      <c r="AD61" s="157" t="s">
        <v>799</v>
      </c>
      <c r="AE61" s="1981"/>
      <c r="AF61" s="1981"/>
      <c r="AG61" s="1981"/>
      <c r="AH61" s="307">
        <f>AG61-AF61</f>
        <v>0</v>
      </c>
      <c r="AI61" s="1981"/>
      <c r="AJ61" s="614"/>
      <c r="AK61" s="1979"/>
      <c r="AL61" s="1979"/>
      <c r="AM61" s="1981"/>
      <c r="AN61" s="1981"/>
      <c r="AO61" s="1981"/>
      <c r="AP61" s="1981"/>
      <c r="AQ61" s="1981"/>
      <c r="AR61" s="1981"/>
      <c r="AS61" s="1981"/>
      <c r="AT61" s="614"/>
      <c r="AU61" s="1979"/>
      <c r="AV61" s="1979"/>
      <c r="AW61" s="1981"/>
      <c r="AX61" s="1981"/>
      <c r="AY61" s="1981"/>
      <c r="AZ61" s="1981"/>
      <c r="BA61" s="1981"/>
      <c r="BB61" s="1981"/>
      <c r="BC61" s="1981"/>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92"/>
      <c r="BO61" s="1792"/>
      <c r="BP61" s="1792"/>
      <c r="BQ61" s="227"/>
      <c r="BR61" s="227"/>
      <c r="BS61" s="1182" t="s">
        <v>1342</v>
      </c>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1343</v>
      </c>
      <c r="AD62" s="157" t="s">
        <v>799</v>
      </c>
      <c r="AE62" s="612">
        <f>AE49+AE50+AE51+AE52+AE56+AE58+AE59+AE60+AE61</f>
        <v>7775.56</v>
      </c>
      <c r="AF62" s="612">
        <f>AF49+AF50+AF51+AF52+AF56+AF58+AF59+AF60+AF61</f>
        <v>39953.66</v>
      </c>
      <c r="AG62" s="1981">
        <f>AG49+AG50+AG51+AG52+AG56+AG58+AG59+AG60+AG61</f>
        <v>7305.29</v>
      </c>
      <c r="AH62" s="307">
        <f>AG62-AF62</f>
        <v>-32648.37</v>
      </c>
      <c r="AI62" s="612">
        <f>AI49+AI50+AI51+AI52+AI56+AI58+AI59+AI60+AI61</f>
        <v>8093.4</v>
      </c>
      <c r="AJ62" s="612">
        <f>AJ49+AJ50+AJ51+AJ52+AJ56+AJ58+AJ59+AJ60+AJ61</f>
        <v>55695.66887</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825.0349</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-89.806077791781</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92"/>
      <c r="BO62" s="1792"/>
      <c r="BP62" s="1792"/>
      <c r="BQ62" s="227"/>
      <c r="BR62" s="227"/>
      <c r="BS62" s="1182" t="s">
        <v>587</v>
      </c>
    </row>
    <row s="1642" customFormat="1" customHeight="1" ht="14.25">
      <c r="A63" s="225"/>
      <c r="B63" s="925"/>
      <c r="C63" s="225"/>
      <c r="D63" s="225"/>
      <c r="E63" s="794">
        <v>15</v>
      </c>
      <c r="F63" s="920" cm="1" t="str">
        <f t="array" ref="F63:F63">OFFSET(G63,-1,-1)</f>
        <v>1</v>
      </c>
      <c r="G63" s="190" t="s">
        <v>1226</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440</v>
      </c>
      <c r="AC63" s="164" t="s">
        <v>1344</v>
      </c>
      <c r="AD63" s="157" t="s">
        <v>799</v>
      </c>
      <c r="AE63" s="612">
        <f>_xlfn.SUMIFS(Налоги!AE$26:AE$57,Налоги!$F$26:$F$57,$F63,Налоги!$G$26:$G$57,$G63)</f>
        <v>0</v>
      </c>
      <c r="AF63" s="612">
        <f>_xlfn.SUMIFS(Налоги!AF$26:AF$57,Налоги!$F$26:$F$57,$F63,Налоги!$G$26:$G$57,$G63)</f>
        <v>0</v>
      </c>
      <c r="AG63" s="1981">
        <f>_xlfn.SUMIFS(Налоги!AG$26:AG$57,Налоги!$F$26:$F$57,$F63,Налоги!$G$26:$G$57,$G63)</f>
        <v>0</v>
      </c>
      <c r="AH63" s="307">
        <f>AG63-AF63</f>
        <v>0</v>
      </c>
      <c r="AI63" s="612">
        <f>_xlfn.SUMIFS(Налоги!AH$26:AH$57,Налоги!$F$26:$F$57,$F63,Налоги!$G$26:$G$57,$G63)</f>
        <v>0</v>
      </c>
      <c r="AJ63" s="612">
        <f>_xlfn.SUMIFS(Налоги!AI$26:AI$57,Налоги!$F$26:$F$57,$F63,Налоги!$G$26:$G$57,$G63)</f>
        <v>0</v>
      </c>
      <c r="AK63" s="612">
        <f>_xlfn.SUMIFS(Налоги!AJ$26:AJ$57,Налоги!$F$26:$F$57,$F63,Налоги!$G$26:$G$57,$G63)</f>
        <v>0</v>
      </c>
      <c r="AL63" s="612">
        <f>_xlfn.SUMIFS(Налоги!AK$26:AK$57,Налоги!$F$26:$F$57,$F63,Налоги!$G$26:$G$57,$G63)</f>
        <v>0</v>
      </c>
      <c r="AM63" s="612">
        <f>_xlfn.SUMIFS(Налоги!AL$26:AL$57,Налоги!$F$26:$F$57,$F63,Налоги!$G$26:$G$57,$G63)</f>
        <v>0</v>
      </c>
      <c r="AN63" s="612">
        <f>_xlfn.SUMIFS(Налоги!AM$26:AM$57,Налоги!$F$26:$F$57,$F63,Налоги!$G$26:$G$57,$G63)</f>
        <v>0</v>
      </c>
      <c r="AO63" s="612">
        <f>_xlfn.SUMIFS(Налоги!AN$26:AN$57,Налоги!$F$26:$F$57,$F63,Налоги!$G$26:$G$57,$G63)</f>
        <v>0</v>
      </c>
      <c r="AP63" s="612">
        <f>_xlfn.SUMIFS(Налоги!AO$26:AO$57,Налоги!$F$26:$F$57,$F63,Налоги!$G$26:$G$57,$G63)</f>
        <v>0</v>
      </c>
      <c r="AQ63" s="612">
        <f>_xlfn.SUMIFS(Налоги!AP$26:AP$57,Налоги!$F$26:$F$57,$F63,Налоги!$G$26:$G$57,$G63)</f>
        <v>0</v>
      </c>
      <c r="AR63" s="612">
        <f>_xlfn.SUMIFS(Налоги!AQ$26:AQ$57,Налоги!$F$26:$F$57,$F63,Налоги!$G$26:$G$57,$G63)</f>
        <v>0</v>
      </c>
      <c r="AS63" s="612">
        <f>_xlfn.SUMIFS(Налоги!AR$26:AR$57,Налоги!$F$26:$F$57,$F63,Налоги!$G$26:$G$57,$G63)</f>
        <v>0</v>
      </c>
      <c r="AT63" s="612">
        <f>_xlfn.SUMIFS(Налоги!AS$26:AS$57,Налоги!$F$26:$F$57,$F63,Налоги!$G$26:$G$57,$G63)</f>
        <v>0</v>
      </c>
      <c r="AU63" s="612">
        <f>_xlfn.SUMIFS(Налоги!AT$26:AT$57,Налоги!$F$26:$F$57,$F63,Налоги!$G$26:$G$57,$G63)</f>
        <v>0</v>
      </c>
      <c r="AV63" s="612">
        <f>_xlfn.SUMIFS(Налоги!AU$26:AU$57,Налоги!$F$26:$F$57,$F63,Налоги!$G$26:$G$57,$G63)</f>
        <v>0</v>
      </c>
      <c r="AW63" s="612">
        <f>_xlfn.SUMIFS(Налоги!AV$26:AV$57,Налоги!$F$26:$F$57,$F63,Налоги!$G$26:$G$57,$G63)</f>
        <v>0</v>
      </c>
      <c r="AX63" s="612">
        <f>_xlfn.SUMIFS(Налоги!AW$26:AW$57,Налоги!$F$26:$F$57,$F63,Налоги!$G$26:$G$57,$G63)</f>
        <v>0</v>
      </c>
      <c r="AY63" s="612">
        <f>_xlfn.SUMIFS(Налоги!AX$26:AX$57,Налоги!$F$26:$F$57,$F63,Налоги!$G$26:$G$57,$G63)</f>
        <v>0</v>
      </c>
      <c r="AZ63" s="612">
        <f>_xlfn.SUMIFS(Налоги!AY$26:AY$57,Налоги!$F$26:$F$57,$F63,Налоги!$G$26:$G$57,$G63)</f>
        <v>0</v>
      </c>
      <c r="BA63" s="612">
        <f>_xlfn.SUMIFS(Налоги!AZ$26:AZ$57,Налоги!$F$26:$F$57,$F63,Налоги!$G$26:$G$57,$G63)</f>
        <v>0</v>
      </c>
      <c r="BB63" s="612">
        <f>_xlfn.SUMIFS(Налоги!BA$26:BA$57,Налоги!$F$26:$F$57,$F63,Налоги!$G$26:$G$57,$G63)</f>
        <v>0</v>
      </c>
      <c r="BC63" s="612">
        <f>_xlfn.SUMIFS(Налоги!BB$26:BB$57,Налоги!$F$26:$F$57,$F63,Налоги!$G$26:$G$57,$G63)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92"/>
      <c r="BO63" s="1792"/>
      <c r="BP63" s="1792"/>
      <c r="BQ63" s="227"/>
      <c r="BR63" s="227"/>
      <c r="BS63" s="1182" t="s">
        <v>566</v>
      </c>
    </row>
    <row s="1642" customFormat="1" customHeight="1" ht="27">
      <c r="A64" s="225"/>
      <c r="B64" s="925"/>
      <c r="C64" s="225"/>
      <c r="D64" s="225"/>
      <c r="E64" s="794">
        <v>27.8</v>
      </c>
      <c r="F64" s="920" cm="1" t="str">
        <f t="array" ref="F64:F64">OFFSET(G64,-1,-1)</f>
        <v>1</v>
      </c>
      <c r="G64" s="190" t="s">
        <v>1251</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608</v>
      </c>
      <c r="AC64" s="164" t="s">
        <v>1345</v>
      </c>
      <c r="AD64" s="157" t="s">
        <v>799</v>
      </c>
      <c r="AE64" s="1981"/>
      <c r="AF64" s="1981"/>
      <c r="AG64" s="1981"/>
      <c r="AH64" s="307">
        <f>AG64-AF64</f>
        <v>0</v>
      </c>
      <c r="AI64" s="1981"/>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92"/>
      <c r="BO64" s="1792"/>
      <c r="BP64" s="1792"/>
      <c r="BQ64" s="227"/>
      <c r="BR64" s="227"/>
      <c r="BS64" s="1182" t="s">
        <v>1346</v>
      </c>
    </row>
    <row s="1642"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618</v>
      </c>
      <c r="AC65" s="164" t="s">
        <v>1347</v>
      </c>
      <c r="AD65" s="157" t="s">
        <v>799</v>
      </c>
      <c r="AE65" s="1981"/>
      <c r="AF65" s="1981"/>
      <c r="AG65" s="1981"/>
      <c r="AH65" s="307">
        <f>AG65-AF65</f>
        <v>0</v>
      </c>
      <c r="AI65" s="1981"/>
      <c r="AJ65" s="614"/>
      <c r="AK65" s="1979"/>
      <c r="AL65" s="1979"/>
      <c r="AM65" s="1981"/>
      <c r="AN65" s="1981"/>
      <c r="AO65" s="1981"/>
      <c r="AP65" s="1981"/>
      <c r="AQ65" s="1981"/>
      <c r="AR65" s="1981"/>
      <c r="AS65" s="1981"/>
      <c r="AT65" s="614"/>
      <c r="AU65" s="1979"/>
      <c r="AV65" s="1979"/>
      <c r="AW65" s="1981"/>
      <c r="AX65" s="1981"/>
      <c r="AY65" s="1981"/>
      <c r="AZ65" s="1981"/>
      <c r="BA65" s="1981"/>
      <c r="BB65" s="1981"/>
      <c r="BC65" s="1981"/>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92"/>
      <c r="BO65" s="1792"/>
      <c r="BP65" s="1792"/>
      <c r="BQ65" s="227"/>
      <c r="BR65" s="227"/>
      <c r="BS65" s="1182" t="s">
        <v>1348</v>
      </c>
    </row>
    <row s="1985"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623</v>
      </c>
      <c r="AC66" s="159" t="s">
        <v>1319</v>
      </c>
      <c r="AD66" s="158" t="s">
        <v>799</v>
      </c>
      <c r="AE66" s="615">
        <f>AE62+AE63+AE64+AE65</f>
        <v>7775.56</v>
      </c>
      <c r="AF66" s="615">
        <f>AF62+AF63+AF64+AF65</f>
        <v>39953.66</v>
      </c>
      <c r="AG66" s="1986">
        <f>AG62+AG63+AG64+AG65</f>
        <v>7305.29</v>
      </c>
      <c r="AH66" s="307">
        <f>AG66-AF66</f>
        <v>-32648.37</v>
      </c>
      <c r="AI66" s="615">
        <f>AI62+AI63+AI64+AI65</f>
        <v>8093.4</v>
      </c>
      <c r="AJ66" s="615">
        <f>AJ62+AJ63+AJ64+AJ65</f>
        <v>55695.66887</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825.0349</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-89.806077791781</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92"/>
      <c r="BO66" s="1792"/>
      <c r="BP66" s="1792"/>
      <c r="BQ66" s="232"/>
      <c r="BR66" s="232"/>
      <c r="BS66" s="1182" t="s">
        <v>1349</v>
      </c>
    </row>
    <row customHeight="1" ht="9.945">
      <c r="E67" s="794">
        <v>10.2</v>
      </c>
      <c r="U67" s="176" t="s">
        <v>237</v>
      </c>
      <c r="V67" s="168" t="s">
        <v>1350</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7" t="s">
        <v>694</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235</v>
      </c>
      <c r="X71" s="1437"/>
      <c r="Y71" s="1437"/>
      <c r="Z71" s="1437"/>
      <c r="AA71" s="915" t="s">
        <v>219</v>
      </c>
      <c r="AB71" s="1938"/>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236</v>
      </c>
      <c r="AA72" s="210"/>
      <c r="AB72" s="1453" t="s">
        <v>695</v>
      </c>
      <c r="AC72" s="1454"/>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DEC08-5368-9582-D3A1-C6A06957D59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H44" sqref="AH44"/>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372</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424</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425</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426</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5" t="s">
        <v>385</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1255</v>
      </c>
      <c r="BO24" s="1524" t="s">
        <v>582</v>
      </c>
      <c r="BP24" s="1524" t="s">
        <v>1256</v>
      </c>
      <c r="BS24" s="1231"/>
    </row>
    <row s="226" customFormat="1" customHeight="1" ht="44.655">
      <c r="A25" s="229"/>
      <c r="B25" s="789"/>
      <c r="C25" s="229"/>
      <c r="D25" s="229"/>
      <c r="E25" s="800">
        <v>45.8</v>
      </c>
      <c r="F25" s="229"/>
      <c r="Q25" s="930"/>
      <c r="R25" s="930"/>
      <c r="T25" s="229"/>
      <c r="U25" s="229"/>
      <c r="V25" s="229"/>
      <c r="W25" s="229"/>
      <c r="X25" s="229"/>
      <c r="Y25" s="229"/>
      <c r="Z25" s="229"/>
      <c r="AB25" s="1525"/>
      <c r="AC25" s="1525"/>
      <c r="AD25" s="1525"/>
      <c r="AE25" s="166" t="s">
        <v>401</v>
      </c>
      <c r="AF25" s="1356" t="s">
        <v>583</v>
      </c>
      <c r="AG25" s="166" t="s">
        <v>584</v>
      </c>
      <c r="AH25" s="258" t="s">
        <v>1257</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1258</v>
      </c>
      <c r="BE25" s="1524"/>
      <c r="BF25" s="1524"/>
      <c r="BG25" s="1524"/>
      <c r="BH25" s="1524"/>
      <c r="BI25" s="1524"/>
      <c r="BJ25" s="1524"/>
      <c r="BK25" s="1524"/>
      <c r="BL25" s="1524"/>
      <c r="BM25" s="1524"/>
      <c r="BN25" s="1524"/>
      <c r="BO25" s="1524"/>
      <c r="BP25" s="1524"/>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6" t="s">
        <v>1351</v>
      </c>
      <c r="AC28" s="1527"/>
      <c r="AD28" s="302" t="s">
        <v>799</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1352</v>
      </c>
    </row>
    <row customHeight="1" ht="16.575" hidden="1">
      <c r="E29" s="794">
        <v>17</v>
      </c>
      <c r="F29" s="920" cm="1" t="str">
        <f t="array" ref="F29:F29">OFFSET(G29,-1,-1)</f>
        <v>0</v>
      </c>
      <c r="G29" s="190" t="s">
        <v>1353</v>
      </c>
      <c r="T29" s="805" cm="1" t="str">
        <f t="array" ref="T29:T29">T28</f>
        <v>false</v>
      </c>
      <c r="AB29" s="477" t="s">
        <v>337</v>
      </c>
      <c r="AC29" s="744" t="s">
        <v>1354</v>
      </c>
      <c r="AD29" s="485" t="s">
        <v>986</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1348</v>
      </c>
    </row>
    <row customHeight="1" ht="16.575" hidden="1">
      <c r="E30" s="794">
        <v>17</v>
      </c>
      <c r="F30" s="920" cm="1" t="str">
        <f t="array" ref="F30:F30">OFFSET(G30,-1,-1)</f>
        <v>0</v>
      </c>
      <c r="G30" s="190" t="s">
        <v>893</v>
      </c>
      <c r="T30" s="805" cm="1" t="str">
        <f t="array" ref="T30:T30">T29</f>
        <v>false</v>
      </c>
      <c r="AB30" s="511" t="s">
        <v>440</v>
      </c>
      <c r="AC30" s="742" t="s">
        <v>895</v>
      </c>
      <c r="AD30" s="496" t="s">
        <v>986</v>
      </c>
      <c r="AE30" s="307">
        <f>_xlfn.SUMIFS(ЭнергоРесурсы!AE$26:AE$113,ЭнергоРесурсы!$F$26:$F$113,$F30,ЭнергоРесурсы!$G$26:$G$113,$G30)</f>
        <v>0</v>
      </c>
      <c r="AF30" s="307">
        <f>_xlfn.SUMIFS(ЭнергоРесурсы!AF$26:AF$113,ЭнергоРесурсы!$F$26:$F$113,$F30,ЭнергоРесурсы!$G$26:$G$113,$G30)</f>
        <v>0</v>
      </c>
      <c r="AG30" s="307">
        <f>_xlfn.SUMIFS(ЭнергоРесурсы!AG$26:AG$113,ЭнергоРесурсы!$F$26:$F$113,$F30,ЭнергоРесурсы!$G$26:$G$113,$G30)</f>
        <v>0</v>
      </c>
      <c r="AH30" s="307">
        <f>AG30-AF30</f>
        <v>0</v>
      </c>
      <c r="AI30" s="307">
        <f>_xlfn.SUMIFS(ЭнергоРесурсы!AH$26:AH$113,ЭнергоРесурсы!$F$26:$F$113,$F30,ЭнергоРесурсы!$G$26:$G$113,$G30)</f>
        <v>0</v>
      </c>
      <c r="AJ30" s="307">
        <f>_xlfn.SUMIFS(ЭнергоРесурсы!AI$26:AI$113,ЭнергоРесурсы!$F$26:$F$113,$F30,ЭнергоРесурсы!$G$26:$G$113,$G30)</f>
        <v>0</v>
      </c>
      <c r="AK30" s="307">
        <f>_xlfn.SUMIFS(ЭнергоРесурсы!AJ$26:AJ$113,ЭнергоРесурсы!$F$26:$F$113,$F30,ЭнергоРесурсы!$G$26:$G$113,$G30)</f>
        <v>0</v>
      </c>
      <c r="AL30" s="307">
        <f>_xlfn.SUMIFS(ЭнергоРесурсы!AK$26:AK$113,ЭнергоРесурсы!$F$26:$F$113,$F30,ЭнергоРесурсы!$G$26:$G$113,$G30)</f>
        <v>0</v>
      </c>
      <c r="AM30" s="307">
        <f>_xlfn.SUMIFS(ЭнергоРесурсы!AL$26:AL$113,ЭнергоРесурсы!$F$26:$F$113,$F30,ЭнергоРесурсы!$G$26:$G$113,$G30)</f>
        <v>0</v>
      </c>
      <c r="AN30" s="307">
        <f>_xlfn.SUMIFS(ЭнергоРесурсы!AM$26:AM$113,ЭнергоРесурсы!$F$26:$F$113,$F30,ЭнергоРесурсы!$G$26:$G$113,$G30)</f>
        <v>0</v>
      </c>
      <c r="AO30" s="307">
        <f>_xlfn.SUMIFS(ЭнергоРесурсы!AN$26:AN$113,ЭнергоРесурсы!$F$26:$F$113,$F30,ЭнергоРесурсы!$G$26:$G$113,$G30)</f>
        <v>0</v>
      </c>
      <c r="AP30" s="307">
        <f>_xlfn.SUMIFS(ЭнергоРесурсы!AO$26:AO$113,ЭнергоРесурсы!$F$26:$F$113,$F30,ЭнергоРесурсы!$G$26:$G$113,$G30)</f>
        <v>0</v>
      </c>
      <c r="AQ30" s="307">
        <f>_xlfn.SUMIFS(ЭнергоРесурсы!AP$26:AP$113,ЭнергоРесурсы!$F$26:$F$113,$F30,ЭнергоРесурсы!$G$26:$G$113,$G30)</f>
        <v>0</v>
      </c>
      <c r="AR30" s="307">
        <f>_xlfn.SUMIFS(ЭнергоРесурсы!AQ$26:AQ$113,ЭнергоРесурсы!$F$26:$F$113,$F30,ЭнергоРесурсы!$G$26:$G$113,$G30)</f>
        <v>0</v>
      </c>
      <c r="AS30" s="307">
        <f>_xlfn.SUMIFS(ЭнергоРесурсы!AR$26:AR$113,ЭнергоРесурсы!$F$26:$F$113,$F30,ЭнергоРесурсы!$G$26:$G$113,$G30)</f>
        <v>0</v>
      </c>
      <c r="AT30" s="307">
        <f>_xlfn.SUMIFS(ЭнергоРесурсы!AS$26:AS$113,ЭнергоРесурсы!$F$26:$F$113,$F30,ЭнергоРесурсы!$G$26:$G$113,$G30)</f>
        <v>0</v>
      </c>
      <c r="AU30" s="307">
        <f>_xlfn.SUMIFS(ЭнергоРесурсы!AT$26:AT$113,ЭнергоРесурсы!$F$26:$F$113,$F30,ЭнергоРесурсы!$G$26:$G$113,$G30)</f>
        <v>0</v>
      </c>
      <c r="AV30" s="307">
        <f>_xlfn.SUMIFS(ЭнергоРесурсы!AU$26:AU$113,ЭнергоРесурсы!$F$26:$F$113,$F30,ЭнергоРесурсы!$G$26:$G$113,$G30)</f>
        <v>0</v>
      </c>
      <c r="AW30" s="307">
        <f>_xlfn.SUMIFS(ЭнергоРесурсы!AV$26:AV$113,ЭнергоРесурсы!$F$26:$F$113,$F30,ЭнергоРесурсы!$G$26:$G$113,$G30)</f>
        <v>0</v>
      </c>
      <c r="AX30" s="307">
        <f>_xlfn.SUMIFS(ЭнергоРесурсы!AW$26:AW$113,ЭнергоРесурсы!$F$26:$F$113,$F30,ЭнергоРесурсы!$G$26:$G$113,$G30)</f>
        <v>0</v>
      </c>
      <c r="AY30" s="307">
        <f>_xlfn.SUMIFS(ЭнергоРесурсы!AX$26:AX$113,ЭнергоРесурсы!$F$26:$F$113,$F30,ЭнергоРесурсы!$G$26:$G$113,$G30)</f>
        <v>0</v>
      </c>
      <c r="AZ30" s="307">
        <f>_xlfn.SUMIFS(ЭнергоРесурсы!AY$26:AY$113,ЭнергоРесурсы!$F$26:$F$113,$F30,ЭнергоРесурсы!$G$26:$G$113,$G30)</f>
        <v>0</v>
      </c>
      <c r="BA30" s="307">
        <f>_xlfn.SUMIFS(ЭнергоРесурсы!AZ$26:AZ$113,ЭнергоРесурсы!$F$26:$F$113,$F30,ЭнергоРесурсы!$G$26:$G$113,$G30)</f>
        <v>0</v>
      </c>
      <c r="BB30" s="307">
        <f>_xlfn.SUMIFS(ЭнергоРесурсы!BA$26:BA$113,ЭнергоРесурсы!$F$26:$F$113,$F30,ЭнергоРесурсы!$G$26:$G$113,$G30)</f>
        <v>0</v>
      </c>
      <c r="BC30" s="307">
        <f>_xlfn.SUMIFS(ЭнергоРесурсы!BB$26:BB$113,ЭнергоРесурсы!$F$26:$F$113,$F30,ЭнергоРесурсы!$G$26:$G$113,$G30)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1355</v>
      </c>
    </row>
    <row customHeight="1" ht="16.575" hidden="1">
      <c r="E31" s="794">
        <v>17</v>
      </c>
      <c r="F31" s="920" cm="1" t="str">
        <f t="array" ref="F31:F31">OFFSET(G31,-1,-1)</f>
        <v>0</v>
      </c>
      <c r="G31" s="190" t="s">
        <v>928</v>
      </c>
      <c r="T31" s="805" cm="1" t="str">
        <f t="array" ref="T31:T31">T30</f>
        <v>false</v>
      </c>
      <c r="AB31" s="285" t="s">
        <v>608</v>
      </c>
      <c r="AC31" s="743" t="s">
        <v>948</v>
      </c>
      <c r="AD31" s="496" t="s">
        <v>986</v>
      </c>
      <c r="AE31" s="307">
        <f>_xlfn.SUMIFS(ЭнергоРесурсы!AE$26:AE$113,ЭнергоРесурсы!$F$26:$F$113,$F31,ЭнергоРесурсы!$G$26:$G$113,$G31)</f>
        <v>0</v>
      </c>
      <c r="AF31" s="307">
        <f>_xlfn.SUMIFS(ЭнергоРесурсы!AF$26:AF$113,ЭнергоРесурсы!$F$26:$F$113,$F31,ЭнергоРесурсы!$G$26:$G$113,$G31)</f>
        <v>0</v>
      </c>
      <c r="AG31" s="307">
        <f>_xlfn.SUMIFS(ЭнергоРесурсы!AG$26:AG$113,ЭнергоРесурсы!$F$26:$F$113,$F31,ЭнергоРесурсы!$G$26:$G$113,$G31)</f>
        <v>0</v>
      </c>
      <c r="AH31" s="307">
        <f>AG31-AF31</f>
        <v>0</v>
      </c>
      <c r="AI31" s="307">
        <f>_xlfn.SUMIFS(ЭнергоРесурсы!AH$26:AH$113,ЭнергоРесурсы!$F$26:$F$113,$F31,ЭнергоРесурсы!$G$26:$G$113,$G31)</f>
        <v>0</v>
      </c>
      <c r="AJ31" s="307">
        <f>_xlfn.SUMIFS(ЭнергоРесурсы!AI$26:AI$113,ЭнергоРесурсы!$F$26:$F$113,$F31,ЭнергоРесурсы!$G$26:$G$113,$G31)</f>
        <v>0</v>
      </c>
      <c r="AK31" s="307">
        <f>_xlfn.SUMIFS(ЭнергоРесурсы!AJ$26:AJ$113,ЭнергоРесурсы!$F$26:$F$113,$F31,ЭнергоРесурсы!$G$26:$G$113,$G31)</f>
        <v>0</v>
      </c>
      <c r="AL31" s="307">
        <f>_xlfn.SUMIFS(ЭнергоРесурсы!AK$26:AK$113,ЭнергоРесурсы!$F$26:$F$113,$F31,ЭнергоРесурсы!$G$26:$G$113,$G31)</f>
        <v>0</v>
      </c>
      <c r="AM31" s="307">
        <f>_xlfn.SUMIFS(ЭнергоРесурсы!AL$26:AL$113,ЭнергоРесурсы!$F$26:$F$113,$F31,ЭнергоРесурсы!$G$26:$G$113,$G31)</f>
        <v>0</v>
      </c>
      <c r="AN31" s="307">
        <f>_xlfn.SUMIFS(ЭнергоРесурсы!AM$26:AM$113,ЭнергоРесурсы!$F$26:$F$113,$F31,ЭнергоРесурсы!$G$26:$G$113,$G31)</f>
        <v>0</v>
      </c>
      <c r="AO31" s="307">
        <f>_xlfn.SUMIFS(ЭнергоРесурсы!AN$26:AN$113,ЭнергоРесурсы!$F$26:$F$113,$F31,ЭнергоРесурсы!$G$26:$G$113,$G31)</f>
        <v>0</v>
      </c>
      <c r="AP31" s="307">
        <f>_xlfn.SUMIFS(ЭнергоРесурсы!AO$26:AO$113,ЭнергоРесурсы!$F$26:$F$113,$F31,ЭнергоРесурсы!$G$26:$G$113,$G31)</f>
        <v>0</v>
      </c>
      <c r="AQ31" s="307">
        <f>_xlfn.SUMIFS(ЭнергоРесурсы!AP$26:AP$113,ЭнергоРесурсы!$F$26:$F$113,$F31,ЭнергоРесурсы!$G$26:$G$113,$G31)</f>
        <v>0</v>
      </c>
      <c r="AR31" s="307">
        <f>_xlfn.SUMIFS(ЭнергоРесурсы!AQ$26:AQ$113,ЭнергоРесурсы!$F$26:$F$113,$F31,ЭнергоРесурсы!$G$26:$G$113,$G31)</f>
        <v>0</v>
      </c>
      <c r="AS31" s="307">
        <f>_xlfn.SUMIFS(ЭнергоРесурсы!AR$26:AR$113,ЭнергоРесурсы!$F$26:$F$113,$F31,ЭнергоРесурсы!$G$26:$G$113,$G31)</f>
        <v>0</v>
      </c>
      <c r="AT31" s="307">
        <f>_xlfn.SUMIFS(ЭнергоРесурсы!AS$26:AS$113,ЭнергоРесурсы!$F$26:$F$113,$F31,ЭнергоРесурсы!$G$26:$G$113,$G31)</f>
        <v>0</v>
      </c>
      <c r="AU31" s="307">
        <f>_xlfn.SUMIFS(ЭнергоРесурсы!AT$26:AT$113,ЭнергоРесурсы!$F$26:$F$113,$F31,ЭнергоРесурсы!$G$26:$G$113,$G31)</f>
        <v>0</v>
      </c>
      <c r="AV31" s="307">
        <f>_xlfn.SUMIFS(ЭнергоРесурсы!AU$26:AU$113,ЭнергоРесурсы!$F$26:$F$113,$F31,ЭнергоРесурсы!$G$26:$G$113,$G31)</f>
        <v>0</v>
      </c>
      <c r="AW31" s="307">
        <f>_xlfn.SUMIFS(ЭнергоРесурсы!AV$26:AV$113,ЭнергоРесурсы!$F$26:$F$113,$F31,ЭнергоРесурсы!$G$26:$G$113,$G31)</f>
        <v>0</v>
      </c>
      <c r="AX31" s="307">
        <f>_xlfn.SUMIFS(ЭнергоРесурсы!AW$26:AW$113,ЭнергоРесурсы!$F$26:$F$113,$F31,ЭнергоРесурсы!$G$26:$G$113,$G31)</f>
        <v>0</v>
      </c>
      <c r="AY31" s="307">
        <f>_xlfn.SUMIFS(ЭнергоРесурсы!AX$26:AX$113,ЭнергоРесурсы!$F$26:$F$113,$F31,ЭнергоРесурсы!$G$26:$G$113,$G31)</f>
        <v>0</v>
      </c>
      <c r="AZ31" s="307">
        <f>_xlfn.SUMIFS(ЭнергоРесурсы!AY$26:AY$113,ЭнергоРесурсы!$F$26:$F$113,$F31,ЭнергоРесурсы!$G$26:$G$113,$G31)</f>
        <v>0</v>
      </c>
      <c r="BA31" s="307">
        <f>_xlfn.SUMIFS(ЭнергоРесурсы!AZ$26:AZ$113,ЭнергоРесурсы!$F$26:$F$113,$F31,ЭнергоРесурсы!$G$26:$G$113,$G31)</f>
        <v>0</v>
      </c>
      <c r="BB31" s="307">
        <f>_xlfn.SUMIFS(ЭнергоРесурсы!BA$26:BA$113,ЭнергоРесурсы!$F$26:$F$113,$F31,ЭнергоРесурсы!$G$26:$G$113,$G31)</f>
        <v>0</v>
      </c>
      <c r="BC31" s="307">
        <f>_xlfn.SUMIFS(ЭнергоРесурсы!BB$26:BB$113,ЭнергоРесурсы!$F$26:$F$113,$F31,ЭнергоРесурсы!$G$26:$G$113,$G31)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1356</v>
      </c>
    </row>
    <row customHeight="1" ht="16.575" hidden="1">
      <c r="E32" s="794">
        <v>17</v>
      </c>
      <c r="F32" s="920" cm="1" t="str">
        <f t="array" ref="F32:F32">OFFSET(G32,-1,-1)</f>
        <v>0</v>
      </c>
      <c r="G32" s="190" t="s">
        <v>930</v>
      </c>
      <c r="R32" s="190" t="s">
        <v>931</v>
      </c>
      <c r="T32" s="805">
        <f>AND(T31,G27="двухставочный")</f>
        <v>0</v>
      </c>
      <c r="AB32" s="285" t="s">
        <v>704</v>
      </c>
      <c r="AC32" s="1081" t="s">
        <v>933</v>
      </c>
      <c r="AD32" s="1029" t="s">
        <v>799</v>
      </c>
      <c r="AE32" s="548">
        <f>_xlfn.SUMIFS(ЭнергоРесурсы!AE$26:AE$113,ЭнергоРесурсы!$F$26:$F$113,$F32,ЭнергоРесурсы!$G$26:$G$113,$G32)</f>
        <v>0</v>
      </c>
      <c r="AF32" s="548">
        <f>_xlfn.SUMIFS(ЭнергоРесурсы!AF$26:AF$113,ЭнергоРесурсы!$F$26:$F$113,$F32,ЭнергоРесурсы!$G$26:$G$113,$G32)</f>
        <v>0</v>
      </c>
      <c r="AG32" s="548">
        <f>_xlfn.SUMIFS(ЭнергоРесурсы!AG$26:AG$113,ЭнергоРесурсы!$F$26:$F$113,$F32,ЭнергоРесурсы!$G$26:$G$113,$G32)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1357</v>
      </c>
    </row>
    <row customHeight="1" ht="16.575" hidden="1">
      <c r="E33" s="794">
        <v>17</v>
      </c>
      <c r="F33" s="920" cm="1" t="str">
        <f t="array" ref="F33:F33">OFFSET(G33,-1,-1)</f>
        <v>0</v>
      </c>
      <c r="G33" s="190" t="s">
        <v>960</v>
      </c>
      <c r="T33" s="805" cm="1" t="str">
        <f t="array" ref="T33:T33">T31</f>
        <v>false</v>
      </c>
      <c r="AB33" s="575" t="s">
        <v>618</v>
      </c>
      <c r="AC33" s="1002" t="s">
        <v>961</v>
      </c>
      <c r="AD33" s="170" t="s">
        <v>986</v>
      </c>
      <c r="AE33" s="307">
        <f>_xlfn.SUMIFS('ХВС, ТН'!AE$26:AE$53,'ХВС, ТН'!$F$26:$F$53,$F33,'ХВС, ТН'!$G$26:$G$53,$G33)</f>
        <v>0</v>
      </c>
      <c r="AF33" s="307">
        <f>_xlfn.SUMIFS('ХВС, ТН'!AF$26:AF$53,'ХВС, ТН'!$F$26:$F$53,$F33,'ХВС, ТН'!$G$26:$G$53,$G33)</f>
        <v>0</v>
      </c>
      <c r="AG33" s="307">
        <f>_xlfn.SUMIFS('ХВС, ТН'!AG$26:AG$53,'ХВС, ТН'!$F$26:$F$53,$F33,'ХВС, ТН'!$G$26:$G$53,$G33)</f>
        <v>0</v>
      </c>
      <c r="AH33" s="307">
        <f>AG33-AF33</f>
        <v>0</v>
      </c>
      <c r="AI33" s="547">
        <f>_xlfn.SUMIFS('ХВС, ТН'!AH$26:AH$53,'ХВС, ТН'!$F$26:$F$53,$F33,'ХВС, ТН'!$G$26:$G$53,$G33)</f>
        <v>0</v>
      </c>
      <c r="AJ33" s="547">
        <f>_xlfn.SUMIFS('ХВС, ТН'!AI$26:AI$53,'ХВС, ТН'!$F$26:$F$53,$F33,'ХВС, ТН'!$G$26:$G$53,$G33)</f>
        <v>0</v>
      </c>
      <c r="AK33" s="547">
        <f>_xlfn.SUMIFS('ХВС, ТН'!AJ$26:AJ$53,'ХВС, ТН'!$F$26:$F$53,$F33,'ХВС, ТН'!$G$26:$G$53,$G33)</f>
        <v>0</v>
      </c>
      <c r="AL33" s="547">
        <f>_xlfn.SUMIFS('ХВС, ТН'!AK$26:AK$53,'ХВС, ТН'!$F$26:$F$53,$F33,'ХВС, ТН'!$G$26:$G$53,$G33)</f>
        <v>0</v>
      </c>
      <c r="AM33" s="547">
        <f>_xlfn.SUMIFS('ХВС, ТН'!AL$26:AL$53,'ХВС, ТН'!$F$26:$F$53,$F33,'ХВС, ТН'!$G$26:$G$53,$G33)</f>
        <v>0</v>
      </c>
      <c r="AN33" s="547">
        <f>_xlfn.SUMIFS('ХВС, ТН'!AM$26:AM$53,'ХВС, ТН'!$F$26:$F$53,$F33,'ХВС, ТН'!$G$26:$G$53,$G33)</f>
        <v>0</v>
      </c>
      <c r="AO33" s="547">
        <f>_xlfn.SUMIFS('ХВС, ТН'!AN$26:AN$53,'ХВС, ТН'!$F$26:$F$53,$F33,'ХВС, ТН'!$G$26:$G$53,$G33)</f>
        <v>0</v>
      </c>
      <c r="AP33" s="547">
        <f>_xlfn.SUMIFS('ХВС, ТН'!AO$26:AO$53,'ХВС, ТН'!$F$26:$F$53,$F33,'ХВС, ТН'!$G$26:$G$53,$G33)</f>
        <v>0</v>
      </c>
      <c r="AQ33" s="547">
        <f>_xlfn.SUMIFS('ХВС, ТН'!AP$26:AP$53,'ХВС, ТН'!$F$26:$F$53,$F33,'ХВС, ТН'!$G$26:$G$53,$G33)</f>
        <v>0</v>
      </c>
      <c r="AR33" s="547">
        <f>_xlfn.SUMIFS('ХВС, ТН'!AQ$26:AQ$53,'ХВС, ТН'!$F$26:$F$53,$F33,'ХВС, ТН'!$G$26:$G$53,$G33)</f>
        <v>0</v>
      </c>
      <c r="AS33" s="547">
        <f>_xlfn.SUMIFS('ХВС, ТН'!AR$26:AR$53,'ХВС, ТН'!$F$26:$F$53,$F33,'ХВС, ТН'!$G$26:$G$53,$G33)</f>
        <v>0</v>
      </c>
      <c r="AT33" s="547">
        <f>_xlfn.SUMIFS('ХВС, ТН'!AS$26:AS$53,'ХВС, ТН'!$F$26:$F$53,$F33,'ХВС, ТН'!$G$26:$G$53,$G33)</f>
        <v>0</v>
      </c>
      <c r="AU33" s="547">
        <f>_xlfn.SUMIFS('ХВС, ТН'!AT$26:AT$53,'ХВС, ТН'!$F$26:$F$53,$F33,'ХВС, ТН'!$G$26:$G$53,$G33)</f>
        <v>0</v>
      </c>
      <c r="AV33" s="547">
        <f>_xlfn.SUMIFS('ХВС, ТН'!AU$26:AU$53,'ХВС, ТН'!$F$26:$F$53,$F33,'ХВС, ТН'!$G$26:$G$53,$G33)</f>
        <v>0</v>
      </c>
      <c r="AW33" s="547">
        <f>_xlfn.SUMIFS('ХВС, ТН'!AV$26:AV$53,'ХВС, ТН'!$F$26:$F$53,$F33,'ХВС, ТН'!$G$26:$G$53,$G33)</f>
        <v>0</v>
      </c>
      <c r="AX33" s="547">
        <f>_xlfn.SUMIFS('ХВС, ТН'!AW$26:AW$53,'ХВС, ТН'!$F$26:$F$53,$F33,'ХВС, ТН'!$G$26:$G$53,$G33)</f>
        <v>0</v>
      </c>
      <c r="AY33" s="547">
        <f>_xlfn.SUMIFS('ХВС, ТН'!AX$26:AX$53,'ХВС, ТН'!$F$26:$F$53,$F33,'ХВС, ТН'!$G$26:$G$53,$G33)</f>
        <v>0</v>
      </c>
      <c r="AZ33" s="547">
        <f>_xlfn.SUMIFS('ХВС, ТН'!AY$26:AY$53,'ХВС, ТН'!$F$26:$F$53,$F33,'ХВС, ТН'!$G$26:$G$53,$G33)</f>
        <v>0</v>
      </c>
      <c r="BA33" s="547">
        <f>_xlfn.SUMIFS('ХВС, ТН'!AZ$26:AZ$53,'ХВС, ТН'!$F$26:$F$53,$F33,'ХВС, ТН'!$G$26:$G$53,$G33)</f>
        <v>0</v>
      </c>
      <c r="BB33" s="547">
        <f>_xlfn.SUMIFS('ХВС, ТН'!BA$26:BA$53,'ХВС, ТН'!$F$26:$F$53,$F33,'ХВС, ТН'!$G$26:$G$53,$G33)</f>
        <v>0</v>
      </c>
      <c r="BC33" s="547">
        <f>_xlfn.SUMIFS('ХВС, ТН'!BB$26:BB$53,'ХВС, ТН'!$F$26:$F$53,$F33,'ХВС, ТН'!$G$26:$G$53,$G33)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1358</v>
      </c>
    </row>
    <row customHeight="1" ht="16.575" hidden="1">
      <c r="E34" s="794">
        <v>17</v>
      </c>
      <c r="F34" s="920" cm="1" t="str">
        <f t="array" ref="F34:F34">OFFSET(G34,-1,-1)</f>
        <v>0</v>
      </c>
      <c r="G34" s="190" t="s">
        <v>971</v>
      </c>
      <c r="T34" s="805" cm="1" t="str">
        <f t="array" ref="T34:T34">T33</f>
        <v>false</v>
      </c>
      <c r="AB34" s="575" t="s">
        <v>623</v>
      </c>
      <c r="AC34" s="1002" t="s">
        <v>972</v>
      </c>
      <c r="AD34" s="170" t="s">
        <v>986</v>
      </c>
      <c r="AE34" s="307">
        <f>_xlfn.SUMIFS('ХВС, ТН'!AE$26:AE$53,'ХВС, ТН'!$F$26:$F$53,$F34,'ХВС, ТН'!$G$26:$G$53,$G34)</f>
        <v>0</v>
      </c>
      <c r="AF34" s="307">
        <f>_xlfn.SUMIFS('ХВС, ТН'!AF$26:AF$53,'ХВС, ТН'!$F$26:$F$53,$F34,'ХВС, ТН'!$G$26:$G$53,$G34)</f>
        <v>0</v>
      </c>
      <c r="AG34" s="30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ТН'!AJ$26:AJ$53,'ХВС, ТН'!$F$26:$F$53,$F34,'ХВС, ТН'!$G$26:$G$53,$G34)</f>
        <v>0</v>
      </c>
      <c r="AL34" s="547">
        <f>_xlfn.SUMIFS('ХВС, ТН'!AK$26:AK$53,'ХВС, ТН'!$F$26:$F$53,$F34,'ХВС, ТН'!$G$26:$G$53,$G34)</f>
        <v>0</v>
      </c>
      <c r="AM34" s="547">
        <f>_xlfn.SUMIFS('ХВС, ТН'!AL$26:AL$53,'ХВС, ТН'!$F$26:$F$53,$F34,'ХВС, ТН'!$G$26:$G$53,$G34)</f>
        <v>0</v>
      </c>
      <c r="AN34" s="547">
        <f>_xlfn.SUMIFS('ХВС, ТН'!AM$26:AM$53,'ХВС, ТН'!$F$26:$F$53,$F34,'ХВС, ТН'!$G$26:$G$53,$G34)</f>
        <v>0</v>
      </c>
      <c r="AO34" s="547">
        <f>_xlfn.SUMIFS('ХВС, ТН'!AN$26:AN$53,'ХВС, ТН'!$F$26:$F$53,$F34,'ХВС, ТН'!$G$26:$G$53,$G34)</f>
        <v>0</v>
      </c>
      <c r="AP34" s="547">
        <f>_xlfn.SUMIFS('ХВС, ТН'!AO$26:AO$53,'ХВС, ТН'!$F$26:$F$53,$F34,'ХВС, ТН'!$G$26:$G$53,$G34)</f>
        <v>0</v>
      </c>
      <c r="AQ34" s="547">
        <f>_xlfn.SUMIFS('ХВС, ТН'!AP$26:AP$53,'ХВС, ТН'!$F$26:$F$53,$F34,'ХВС, ТН'!$G$26:$G$53,$G34)</f>
        <v>0</v>
      </c>
      <c r="AR34" s="547">
        <f>_xlfn.SUMIFS('ХВС, ТН'!AQ$26:AQ$53,'ХВС, ТН'!$F$26:$F$53,$F34,'ХВС, ТН'!$G$26:$G$53,$G34)</f>
        <v>0</v>
      </c>
      <c r="AS34" s="547">
        <f>_xlfn.SUMIFS('ХВС, ТН'!AR$26:AR$53,'ХВС, ТН'!$F$26:$F$53,$F34,'ХВС, ТН'!$G$26:$G$53,$G34)</f>
        <v>0</v>
      </c>
      <c r="AT34" s="547">
        <f>_xlfn.SUMIFS('ХВС, ТН'!AS$26:AS$53,'ХВС, ТН'!$F$26:$F$53,$F34,'ХВС, ТН'!$G$26:$G$53,$G34)</f>
        <v>0</v>
      </c>
      <c r="AU34" s="547">
        <f>_xlfn.SUMIFS('ХВС, ТН'!AT$26:AT$53,'ХВС, ТН'!$F$26:$F$53,$F34,'ХВС, ТН'!$G$26:$G$53,$G34)</f>
        <v>0</v>
      </c>
      <c r="AV34" s="547">
        <f>_xlfn.SUMIFS('ХВС, ТН'!AU$26:AU$53,'ХВС, ТН'!$F$26:$F$53,$F34,'ХВС, ТН'!$G$26:$G$53,$G34)</f>
        <v>0</v>
      </c>
      <c r="AW34" s="547">
        <f>_xlfn.SUMIFS('ХВС, ТН'!AV$26:AV$53,'ХВС, ТН'!$F$26:$F$53,$F34,'ХВС, ТН'!$G$26:$G$53,$G34)</f>
        <v>0</v>
      </c>
      <c r="AX34" s="547">
        <f>_xlfn.SUMIFS('ХВС, ТН'!AW$26:AW$53,'ХВС, ТН'!$F$26:$F$53,$F34,'ХВС, ТН'!$G$26:$G$53,$G34)</f>
        <v>0</v>
      </c>
      <c r="AY34" s="547">
        <f>_xlfn.SUMIFS('ХВС, ТН'!AX$26:AX$53,'ХВС, ТН'!$F$26:$F$53,$F34,'ХВС, ТН'!$G$26:$G$53,$G34)</f>
        <v>0</v>
      </c>
      <c r="AZ34" s="547">
        <f>_xlfn.SUMIFS('ХВС, ТН'!AY$26:AY$53,'ХВС, ТН'!$F$26:$F$53,$F34,'ХВС, ТН'!$G$26:$G$53,$G34)</f>
        <v>0</v>
      </c>
      <c r="BA34" s="547">
        <f>_xlfn.SUMIFS('ХВС, ТН'!AZ$26:AZ$53,'ХВС, ТН'!$F$26:$F$53,$F34,'ХВС, ТН'!$G$26:$G$53,$G34)</f>
        <v>0</v>
      </c>
      <c r="BB34" s="547">
        <f>_xlfn.SUMIFS('ХВС, ТН'!BA$26:BA$53,'ХВС, ТН'!$F$26:$F$53,$F34,'ХВС, ТН'!$G$26:$G$53,$G34)</f>
        <v>0</v>
      </c>
      <c r="BC34" s="547">
        <f>_xlfn.SUMIFS('ХВС, ТН'!BB$26:BB$53,'ХВС, ТН'!$F$26:$F$53,$F34,'ХВС, ТН'!$G$26:$G$53,$G34)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1359</v>
      </c>
    </row>
    <row customHeight="1" ht="16.575" hidden="1">
      <c r="E35" s="794">
        <v>17</v>
      </c>
      <c r="F35" s="920" cm="1" t="str">
        <f t="array" ref="F35:F35">OFFSET(G35,-1,-1)</f>
        <v>0</v>
      </c>
      <c r="G35" s="190" t="s">
        <v>1360</v>
      </c>
      <c r="T35" s="805" cm="1" t="str">
        <f t="array" ref="T35:T35">T34</f>
        <v>false</v>
      </c>
      <c r="AB35" s="1079" t="s">
        <v>626</v>
      </c>
      <c r="AC35" s="160" t="s">
        <v>1343</v>
      </c>
      <c r="AD35" s="322" t="s">
        <v>986</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587</v>
      </c>
    </row>
    <row customHeight="1" ht="16.575" hidden="1">
      <c r="E36" s="794">
        <v>17</v>
      </c>
      <c r="F36" s="920" cm="1" t="str">
        <f t="array" ref="F36:F36">OFFSET(G36,-1,-1)</f>
        <v>0</v>
      </c>
      <c r="G36" s="190" t="s">
        <v>930</v>
      </c>
      <c r="R36" s="190" t="s">
        <v>931</v>
      </c>
      <c r="T36" s="805" cm="1" t="str">
        <f t="array" ref="T36:T36">T32</f>
        <v>false</v>
      </c>
      <c r="AB36" s="577" t="s">
        <v>1361</v>
      </c>
      <c r="AC36" s="291" t="s">
        <v>933</v>
      </c>
      <c r="AD36" s="151" t="s">
        <v>799</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1362</v>
      </c>
    </row>
    <row s="1922"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337</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22"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6" t="s">
        <v>1351</v>
      </c>
      <c r="AC38" s="1527"/>
      <c r="AD38" s="302" t="s">
        <v>799</v>
      </c>
      <c r="AE38" s="306" cm="1" t="str">
        <f t="array" ref="AE38:AE38">AE45</f>
        <v>0</v>
      </c>
      <c r="AF38" s="306" cm="1" t="str">
        <f t="array" ref="AF38:AF38">AF45</f>
        <v>140942.32</v>
      </c>
      <c r="AG38" s="306" cm="1" t="str">
        <f t="array" ref="AG38:AG38">AG45</f>
        <v>140942.32</v>
      </c>
      <c r="AH38" s="306" cm="1" t="str">
        <f t="array" ref="AH38:AH38">AH45</f>
        <v>0</v>
      </c>
      <c r="AI38" s="306" cm="1" t="str">
        <f t="array" ref="AI38:AI38">AI45</f>
        <v>0</v>
      </c>
      <c r="AJ38" s="306" cm="1" t="str">
        <f t="array" ref="AJ38:AJ38">AJ45</f>
        <v>297312.05</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0</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92"/>
      <c r="BO38" s="1792"/>
      <c r="BP38" s="1792"/>
      <c r="BQ38" s="217"/>
      <c r="BR38" s="217"/>
      <c r="BS38" s="1204" t="s">
        <v>1352</v>
      </c>
    </row>
    <row s="1642" customFormat="1" customHeight="1" ht="16.5">
      <c r="A39" s="225"/>
      <c r="B39" s="925"/>
      <c r="C39" s="225"/>
      <c r="D39" s="225"/>
      <c r="E39" s="794">
        <v>17</v>
      </c>
      <c r="F39" s="920" cm="1" t="str">
        <f t="array" ref="F39:F39">OFFSET(G39,-1,-1)</f>
        <v>1</v>
      </c>
      <c r="G39" s="190" t="s">
        <v>1353</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337</v>
      </c>
      <c r="AC39" s="744" t="s">
        <v>1354</v>
      </c>
      <c r="AD39" s="485" t="s">
        <v>986</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92"/>
      <c r="BO39" s="1792"/>
      <c r="BP39" s="1792"/>
      <c r="BQ39" s="227"/>
      <c r="BR39" s="227"/>
      <c r="BS39" s="1204" t="s">
        <v>1348</v>
      </c>
    </row>
    <row s="1642" customFormat="1" customHeight="1" ht="16.5">
      <c r="A40" s="225"/>
      <c r="B40" s="925"/>
      <c r="C40" s="225"/>
      <c r="D40" s="225"/>
      <c r="E40" s="794">
        <v>17</v>
      </c>
      <c r="F40" s="920" cm="1" t="str">
        <f t="array" ref="F40:F40">OFFSET(G40,-1,-1)</f>
        <v>1</v>
      </c>
      <c r="G40" s="190" t="s">
        <v>893</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440</v>
      </c>
      <c r="AC40" s="742" t="s">
        <v>895</v>
      </c>
      <c r="AD40" s="496" t="s">
        <v>986</v>
      </c>
      <c r="AE40" s="307">
        <f>_xlfn.SUMIFS(ЭнергоРесурсы!AE$26:AE$113,ЭнергоРесурсы!$F$26:$F$113,$F40,ЭнергоРесурсы!$G$26:$G$113,$G40)</f>
        <v>0</v>
      </c>
      <c r="AF40" s="307">
        <f>_xlfn.SUMIFS(ЭнергоРесурсы!AF$26:AF$113,ЭнергоРесурсы!$F$26:$F$113,$F40,ЭнергоРесурсы!$G$26:$G$113,$G40)</f>
        <v>0</v>
      </c>
      <c r="AG40" s="307">
        <f>_xlfn.SUMIFS(ЭнергоРесурсы!AG$26:AG$113,ЭнергоРесурсы!$F$26:$F$113,$F40,ЭнергоРесурсы!$G$26:$G$113,$G40)</f>
        <v>0</v>
      </c>
      <c r="AH40" s="307">
        <f>AG40-AF40</f>
        <v>0</v>
      </c>
      <c r="AI40" s="307">
        <f>_xlfn.SUMIFS(ЭнергоРесурсы!AH$26:AH$113,ЭнергоРесурсы!$F$26:$F$113,$F40,ЭнергоРесурсы!$G$26:$G$113,$G40)</f>
        <v>0</v>
      </c>
      <c r="AJ40" s="307">
        <f>_xlfn.SUMIFS(ЭнергоРесурсы!AI$26:AI$113,ЭнергоРесурсы!$F$26:$F$113,$F40,ЭнергоРесурсы!$G$26:$G$113,$G40)</f>
        <v>0</v>
      </c>
      <c r="AK40" s="307">
        <f>_xlfn.SUMIFS(ЭнергоРесурсы!AJ$26:AJ$113,ЭнергоРесурсы!$F$26:$F$113,$F40,ЭнергоРесурсы!$G$26:$G$113,$G40)</f>
        <v>0</v>
      </c>
      <c r="AL40" s="307">
        <f>_xlfn.SUMIFS(ЭнергоРесурсы!AK$26:AK$113,ЭнергоРесурсы!$F$26:$F$113,$F40,ЭнергоРесурсы!$G$26:$G$113,$G40)</f>
        <v>0</v>
      </c>
      <c r="AM40" s="307">
        <f>_xlfn.SUMIFS(ЭнергоРесурсы!AL$26:AL$113,ЭнергоРесурсы!$F$26:$F$113,$F40,ЭнергоРесурсы!$G$26:$G$113,$G40)</f>
        <v>0</v>
      </c>
      <c r="AN40" s="307">
        <f>_xlfn.SUMIFS(ЭнергоРесурсы!AM$26:AM$113,ЭнергоРесурсы!$F$26:$F$113,$F40,ЭнергоРесурсы!$G$26:$G$113,$G40)</f>
        <v>0</v>
      </c>
      <c r="AO40" s="307">
        <f>_xlfn.SUMIFS(ЭнергоРесурсы!AN$26:AN$113,ЭнергоРесурсы!$F$26:$F$113,$F40,ЭнергоРесурсы!$G$26:$G$113,$G40)</f>
        <v>0</v>
      </c>
      <c r="AP40" s="307">
        <f>_xlfn.SUMIFS(ЭнергоРесурсы!AO$26:AO$113,ЭнергоРесурсы!$F$26:$F$113,$F40,ЭнергоРесурсы!$G$26:$G$113,$G40)</f>
        <v>0</v>
      </c>
      <c r="AQ40" s="307">
        <f>_xlfn.SUMIFS(ЭнергоРесурсы!AP$26:AP$113,ЭнергоРесурсы!$F$26:$F$113,$F40,ЭнергоРесурсы!$G$26:$G$113,$G40)</f>
        <v>0</v>
      </c>
      <c r="AR40" s="307">
        <f>_xlfn.SUMIFS(ЭнергоРесурсы!AQ$26:AQ$113,ЭнергоРесурсы!$F$26:$F$113,$F40,ЭнергоРесурсы!$G$26:$G$113,$G40)</f>
        <v>0</v>
      </c>
      <c r="AS40" s="307">
        <f>_xlfn.SUMIFS(ЭнергоРесурсы!AR$26:AR$113,ЭнергоРесурсы!$F$26:$F$113,$F40,ЭнергоРесурсы!$G$26:$G$113,$G40)</f>
        <v>0</v>
      </c>
      <c r="AT40" s="307">
        <f>_xlfn.SUMIFS(ЭнергоРесурсы!AS$26:AS$113,ЭнергоРесурсы!$F$26:$F$113,$F40,ЭнергоРесурсы!$G$26:$G$113,$G40)</f>
        <v>0</v>
      </c>
      <c r="AU40" s="307">
        <f>_xlfn.SUMIFS(ЭнергоРесурсы!AT$26:AT$113,ЭнергоРесурсы!$F$26:$F$113,$F40,ЭнергоРесурсы!$G$26:$G$113,$G40)</f>
        <v>0</v>
      </c>
      <c r="AV40" s="307">
        <f>_xlfn.SUMIFS(ЭнергоРесурсы!AU$26:AU$113,ЭнергоРесурсы!$F$26:$F$113,$F40,ЭнергоРесурсы!$G$26:$G$113,$G40)</f>
        <v>0</v>
      </c>
      <c r="AW40" s="307">
        <f>_xlfn.SUMIFS(ЭнергоРесурсы!AV$26:AV$113,ЭнергоРесурсы!$F$26:$F$113,$F40,ЭнергоРесурсы!$G$26:$G$113,$G40)</f>
        <v>0</v>
      </c>
      <c r="AX40" s="307">
        <f>_xlfn.SUMIFS(ЭнергоРесурсы!AW$26:AW$113,ЭнергоРесурсы!$F$26:$F$113,$F40,ЭнергоРесурсы!$G$26:$G$113,$G40)</f>
        <v>0</v>
      </c>
      <c r="AY40" s="307">
        <f>_xlfn.SUMIFS(ЭнергоРесурсы!AX$26:AX$113,ЭнергоРесурсы!$F$26:$F$113,$F40,ЭнергоРесурсы!$G$26:$G$113,$G40)</f>
        <v>0</v>
      </c>
      <c r="AZ40" s="307">
        <f>_xlfn.SUMIFS(ЭнергоРесурсы!AY$26:AY$113,ЭнергоРесурсы!$F$26:$F$113,$F40,ЭнергоРесурсы!$G$26:$G$113,$G40)</f>
        <v>0</v>
      </c>
      <c r="BA40" s="307">
        <f>_xlfn.SUMIFS(ЭнергоРесурсы!AZ$26:AZ$113,ЭнергоРесурсы!$F$26:$F$113,$F40,ЭнергоРесурсы!$G$26:$G$113,$G40)</f>
        <v>0</v>
      </c>
      <c r="BB40" s="307">
        <f>_xlfn.SUMIFS(ЭнергоРесурсы!BA$26:BA$113,ЭнергоРесурсы!$F$26:$F$113,$F40,ЭнергоРесурсы!$G$26:$G$113,$G40)</f>
        <v>0</v>
      </c>
      <c r="BC40" s="307">
        <f>_xlfn.SUMIFS(ЭнергоРесурсы!BB$26:BB$113,ЭнергоРесурсы!$F$26:$F$113,$F40,ЭнергоРесурсы!$G$26:$G$113,$G40)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92"/>
      <c r="BO40" s="1792"/>
      <c r="BP40" s="1792"/>
      <c r="BQ40" s="227"/>
      <c r="BR40" s="227"/>
      <c r="BS40" s="1204" t="s">
        <v>1355</v>
      </c>
    </row>
    <row s="1642" customFormat="1" customHeight="1" ht="16.5">
      <c r="A41" s="225"/>
      <c r="B41" s="925"/>
      <c r="C41" s="225"/>
      <c r="D41" s="225"/>
      <c r="E41" s="794">
        <v>17</v>
      </c>
      <c r="F41" s="920" cm="1" t="str">
        <f t="array" ref="F41:F41">OFFSET(G41,-1,-1)</f>
        <v>1</v>
      </c>
      <c r="G41" s="190" t="s">
        <v>928</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608</v>
      </c>
      <c r="AC41" s="743" t="s">
        <v>948</v>
      </c>
      <c r="AD41" s="496" t="s">
        <v>986</v>
      </c>
      <c r="AE41" s="307">
        <f>_xlfn.SUMIFS(ЭнергоРесурсы!AE$26:AE$113,ЭнергоРесурсы!$F$26:$F$113,$F41,ЭнергоРесурсы!$G$26:$G$113,$G41)</f>
        <v>0</v>
      </c>
      <c r="AF41" s="307">
        <f>_xlfn.SUMIFS(ЭнергоРесурсы!AF$26:AF$113,ЭнергоРесурсы!$F$26:$F$113,$F41,ЭнергоРесурсы!$G$26:$G$113,$G41)</f>
        <v>140942.32</v>
      </c>
      <c r="AG41" s="307">
        <f>_xlfn.SUMIFS(ЭнергоРесурсы!AG$26:AG$113,ЭнергоРесурсы!$F$26:$F$113,$F41,ЭнергоРесурсы!$G$26:$G$113,$G41)</f>
        <v>140942.32</v>
      </c>
      <c r="AH41" s="307">
        <f>AG41-AF41</f>
        <v>0</v>
      </c>
      <c r="AI41" s="307">
        <f>_xlfn.SUMIFS(ЭнергоРесурсы!AH$26:AH$113,ЭнергоРесурсы!$F$26:$F$113,$F41,ЭнергоРесурсы!$G$26:$G$113,$G41)</f>
        <v>0</v>
      </c>
      <c r="AJ41" s="307">
        <f>_xlfn.SUMIFS(ЭнергоРесурсы!AI$26:AI$113,ЭнергоРесурсы!$F$26:$F$113,$F41,ЭнергоРесурсы!$G$26:$G$113,$G41)</f>
        <v>297312.05</v>
      </c>
      <c r="AK41" s="307">
        <f>_xlfn.SUMIFS(ЭнергоРесурсы!AJ$26:AJ$113,ЭнергоРесурсы!$F$26:$F$113,$F41,ЭнергоРесурсы!$G$26:$G$113,$G41)</f>
        <v>0</v>
      </c>
      <c r="AL41" s="307">
        <f>_xlfn.SUMIFS(ЭнергоРесурсы!AK$26:AK$113,ЭнергоРесурсы!$F$26:$F$113,$F41,ЭнергоРесурсы!$G$26:$G$113,$G41)</f>
        <v>0</v>
      </c>
      <c r="AM41" s="307">
        <f>_xlfn.SUMIFS(ЭнергоРесурсы!AL$26:AL$113,ЭнергоРесурсы!$F$26:$F$113,$F41,ЭнергоРесурсы!$G$26:$G$113,$G41)</f>
        <v>0</v>
      </c>
      <c r="AN41" s="307">
        <f>_xlfn.SUMIFS(ЭнергоРесурсы!AM$26:AM$113,ЭнергоРесурсы!$F$26:$F$113,$F41,ЭнергоРесурсы!$G$26:$G$113,$G41)</f>
        <v>0</v>
      </c>
      <c r="AO41" s="307">
        <f>_xlfn.SUMIFS(ЭнергоРесурсы!AN$26:AN$113,ЭнергоРесурсы!$F$26:$F$113,$F41,ЭнергоРесурсы!$G$26:$G$113,$G41)</f>
        <v>0</v>
      </c>
      <c r="AP41" s="307">
        <f>_xlfn.SUMIFS(ЭнергоРесурсы!AO$26:AO$113,ЭнергоРесурсы!$F$26:$F$113,$F41,ЭнергоРесурсы!$G$26:$G$113,$G41)</f>
        <v>0</v>
      </c>
      <c r="AQ41" s="307">
        <f>_xlfn.SUMIFS(ЭнергоРесурсы!AP$26:AP$113,ЭнергоРесурсы!$F$26:$F$113,$F41,ЭнергоРесурсы!$G$26:$G$113,$G41)</f>
        <v>0</v>
      </c>
      <c r="AR41" s="307">
        <f>_xlfn.SUMIFS(ЭнергоРесурсы!AQ$26:AQ$113,ЭнергоРесурсы!$F$26:$F$113,$F41,ЭнергоРесурсы!$G$26:$G$113,$G41)</f>
        <v>0</v>
      </c>
      <c r="AS41" s="307">
        <f>_xlfn.SUMIFS(ЭнергоРесурсы!AR$26:AR$113,ЭнергоРесурсы!$F$26:$F$113,$F41,ЭнергоРесурсы!$G$26:$G$113,$G41)</f>
        <v>0</v>
      </c>
      <c r="AT41" s="307">
        <f>_xlfn.SUMIFS(ЭнергоРесурсы!AS$26:AS$113,ЭнергоРесурсы!$F$26:$F$113,$F41,ЭнергоРесурсы!$G$26:$G$113,$G41)</f>
        <v>0</v>
      </c>
      <c r="AU41" s="307">
        <f>_xlfn.SUMIFS(ЭнергоРесурсы!AT$26:AT$113,ЭнергоРесурсы!$F$26:$F$113,$F41,ЭнергоРесурсы!$G$26:$G$113,$G41)</f>
        <v>0</v>
      </c>
      <c r="AV41" s="307">
        <f>_xlfn.SUMIFS(ЭнергоРесурсы!AU$26:AU$113,ЭнергоРесурсы!$F$26:$F$113,$F41,ЭнергоРесурсы!$G$26:$G$113,$G41)</f>
        <v>0</v>
      </c>
      <c r="AW41" s="307">
        <f>_xlfn.SUMIFS(ЭнергоРесурсы!AV$26:AV$113,ЭнергоРесурсы!$F$26:$F$113,$F41,ЭнергоРесурсы!$G$26:$G$113,$G41)</f>
        <v>0</v>
      </c>
      <c r="AX41" s="307">
        <f>_xlfn.SUMIFS(ЭнергоРесурсы!AW$26:AW$113,ЭнергоРесурсы!$F$26:$F$113,$F41,ЭнергоРесурсы!$G$26:$G$113,$G41)</f>
        <v>0</v>
      </c>
      <c r="AY41" s="307">
        <f>_xlfn.SUMIFS(ЭнергоРесурсы!AX$26:AX$113,ЭнергоРесурсы!$F$26:$F$113,$F41,ЭнергоРесурсы!$G$26:$G$113,$G41)</f>
        <v>0</v>
      </c>
      <c r="AZ41" s="307">
        <f>_xlfn.SUMIFS(ЭнергоРесурсы!AY$26:AY$113,ЭнергоРесурсы!$F$26:$F$113,$F41,ЭнергоРесурсы!$G$26:$G$113,$G41)</f>
        <v>0</v>
      </c>
      <c r="BA41" s="307">
        <f>_xlfn.SUMIFS(ЭнергоРесурсы!AZ$26:AZ$113,ЭнергоРесурсы!$F$26:$F$113,$F41,ЭнергоРесурсы!$G$26:$G$113,$G41)</f>
        <v>0</v>
      </c>
      <c r="BB41" s="307">
        <f>_xlfn.SUMIFS(ЭнергоРесурсы!BA$26:BA$113,ЭнергоРесурсы!$F$26:$F$113,$F41,ЭнергоРесурсы!$G$26:$G$113,$G41)</f>
        <v>0</v>
      </c>
      <c r="BC41" s="307">
        <f>_xlfn.SUMIFS(ЭнергоРесурсы!BB$26:BB$113,ЭнергоРесурсы!$F$26:$F$113,$F41,ЭнергоРесурсы!$G$26:$G$113,$G41)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92"/>
      <c r="BO41" s="1792"/>
      <c r="BP41" s="1792"/>
      <c r="BQ41" s="227"/>
      <c r="BR41" s="227"/>
      <c r="BS41" s="1204" t="s">
        <v>1356</v>
      </c>
    </row>
    <row s="1642" customFormat="1" customHeight="1" ht="16.5" hidden="1">
      <c r="A42" s="225"/>
      <c r="B42" s="925"/>
      <c r="C42" s="225"/>
      <c r="D42" s="225"/>
      <c r="E42" s="794">
        <v>17</v>
      </c>
      <c r="F42" s="920" cm="1" t="str">
        <f t="array" ref="F42:F42">OFFSET(G42,-1,-1)</f>
        <v>1</v>
      </c>
      <c r="G42" s="190" t="s">
        <v>930</v>
      </c>
      <c r="H42" s="227"/>
      <c r="I42" s="227"/>
      <c r="J42" s="227"/>
      <c r="K42" s="227"/>
      <c r="L42" s="227"/>
      <c r="M42" s="227"/>
      <c r="N42" s="227"/>
      <c r="O42" s="227"/>
      <c r="P42" s="227"/>
      <c r="Q42" s="190"/>
      <c r="R42" s="190" t="s">
        <v>931</v>
      </c>
      <c r="S42" s="227"/>
      <c r="T42" s="805">
        <f>AND(T41,G37="двухставочный")</f>
        <v>0</v>
      </c>
      <c r="U42" s="225"/>
      <c r="V42" s="225"/>
      <c r="W42" s="225"/>
      <c r="X42" s="225"/>
      <c r="Y42" s="225"/>
      <c r="Z42" s="225"/>
      <c r="AA42" s="227"/>
      <c r="AB42" s="285" t="s">
        <v>704</v>
      </c>
      <c r="AC42" s="1081" t="s">
        <v>933</v>
      </c>
      <c r="AD42" s="1029" t="s">
        <v>799</v>
      </c>
      <c r="AE42" s="548">
        <f>_xlfn.SUMIFS(ЭнергоРесурсы!AE$26:AE$113,ЭнергоРесурсы!$F$26:$F$113,$F42,ЭнергоРесурсы!$G$26:$G$113,$G42)</f>
        <v>0</v>
      </c>
      <c r="AF42" s="548">
        <f>_xlfn.SUMIFS(ЭнергоРесурсы!AF$26:AF$113,ЭнергоРесурсы!$F$26:$F$113,$F42,ЭнергоРесурсы!$G$26:$G$113,$G42)</f>
        <v>0</v>
      </c>
      <c r="AG42" s="548">
        <f>_xlfn.SUMIFS(ЭнергоРесурсы!AG$26:AG$113,ЭнергоРесурсы!$F$26:$F$113,$F42,ЭнергоРесурсы!$G$26:$G$113,$G42)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1357</v>
      </c>
    </row>
    <row s="1642" customFormat="1" customHeight="1" ht="16.5">
      <c r="A43" s="225"/>
      <c r="B43" s="925"/>
      <c r="C43" s="225"/>
      <c r="D43" s="225"/>
      <c r="E43" s="794">
        <v>17</v>
      </c>
      <c r="F43" s="920" cm="1" t="str">
        <f t="array" ref="F43:F43">OFFSET(G43,-1,-1)</f>
        <v>1</v>
      </c>
      <c r="G43" s="190" t="s">
        <v>960</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618</v>
      </c>
      <c r="AC43" s="1002" t="s">
        <v>961</v>
      </c>
      <c r="AD43" s="170" t="s">
        <v>986</v>
      </c>
      <c r="AE43" s="307">
        <f>_xlfn.SUMIFS('ХВС, ТН'!AE$26:AE$53,'ХВС, ТН'!$F$26:$F$53,$F43,'ХВС, ТН'!$G$26:$G$53,$G43)</f>
        <v>0</v>
      </c>
      <c r="AF43" s="307">
        <f>_xlfn.SUMIFS('ХВС, ТН'!AF$26:AF$53,'ХВС, ТН'!$F$26:$F$53,$F43,'ХВС, ТН'!$G$26:$G$53,$G43)</f>
        <v>0</v>
      </c>
      <c r="AG43" s="307">
        <f>_xlfn.SUMIFS('ХВС, ТН'!AG$26:AG$53,'ХВС, ТН'!$F$26:$F$53,$F43,'ХВС, ТН'!$G$26:$G$53,$G43)</f>
        <v>0</v>
      </c>
      <c r="AH43" s="307">
        <f>AG43-AF43</f>
        <v>0</v>
      </c>
      <c r="AI43" s="547">
        <f>_xlfn.SUMIFS('ХВС, ТН'!AH$26:AH$53,'ХВС, ТН'!$F$26:$F$53,$F43,'ХВС, ТН'!$G$26:$G$53,$G43)</f>
        <v>0</v>
      </c>
      <c r="AJ43" s="547">
        <f>_xlfn.SUMIFS('ХВС, ТН'!AI$26:AI$53,'ХВС, ТН'!$F$26:$F$53,$F43,'ХВС, ТН'!$G$26:$G$53,$G43)</f>
        <v>0</v>
      </c>
      <c r="AK43" s="547">
        <f>_xlfn.SUMIFS('ХВС, ТН'!AJ$26:AJ$53,'ХВС, ТН'!$F$26:$F$53,$F43,'ХВС, ТН'!$G$26:$G$53,$G43)</f>
        <v>0</v>
      </c>
      <c r="AL43" s="547">
        <f>_xlfn.SUMIFS('ХВС, ТН'!AK$26:AK$53,'ХВС, ТН'!$F$26:$F$53,$F43,'ХВС, ТН'!$G$26:$G$53,$G43)</f>
        <v>0</v>
      </c>
      <c r="AM43" s="547">
        <f>_xlfn.SUMIFS('ХВС, ТН'!AL$26:AL$53,'ХВС, ТН'!$F$26:$F$53,$F43,'ХВС, ТН'!$G$26:$G$53,$G43)</f>
        <v>0</v>
      </c>
      <c r="AN43" s="547">
        <f>_xlfn.SUMIFS('ХВС, ТН'!AM$26:AM$53,'ХВС, ТН'!$F$26:$F$53,$F43,'ХВС, ТН'!$G$26:$G$53,$G43)</f>
        <v>0</v>
      </c>
      <c r="AO43" s="547">
        <f>_xlfn.SUMIFS('ХВС, ТН'!AN$26:AN$53,'ХВС, ТН'!$F$26:$F$53,$F43,'ХВС, ТН'!$G$26:$G$53,$G43)</f>
        <v>0</v>
      </c>
      <c r="AP43" s="547">
        <f>_xlfn.SUMIFS('ХВС, ТН'!AO$26:AO$53,'ХВС, ТН'!$F$26:$F$53,$F43,'ХВС, ТН'!$G$26:$G$53,$G43)</f>
        <v>0</v>
      </c>
      <c r="AQ43" s="547">
        <f>_xlfn.SUMIFS('ХВС, ТН'!AP$26:AP$53,'ХВС, ТН'!$F$26:$F$53,$F43,'ХВС, ТН'!$G$26:$G$53,$G43)</f>
        <v>0</v>
      </c>
      <c r="AR43" s="547">
        <f>_xlfn.SUMIFS('ХВС, ТН'!AQ$26:AQ$53,'ХВС, ТН'!$F$26:$F$53,$F43,'ХВС, ТН'!$G$26:$G$53,$G43)</f>
        <v>0</v>
      </c>
      <c r="AS43" s="547">
        <f>_xlfn.SUMIFS('ХВС, ТН'!AR$26:AR$53,'ХВС, ТН'!$F$26:$F$53,$F43,'ХВС, ТН'!$G$26:$G$53,$G43)</f>
        <v>0</v>
      </c>
      <c r="AT43" s="547">
        <f>_xlfn.SUMIFS('ХВС, ТН'!AS$26:AS$53,'ХВС, ТН'!$F$26:$F$53,$F43,'ХВС, ТН'!$G$26:$G$53,$G43)</f>
        <v>0</v>
      </c>
      <c r="AU43" s="547">
        <f>_xlfn.SUMIFS('ХВС, ТН'!AT$26:AT$53,'ХВС, ТН'!$F$26:$F$53,$F43,'ХВС, ТН'!$G$26:$G$53,$G43)</f>
        <v>0</v>
      </c>
      <c r="AV43" s="547">
        <f>_xlfn.SUMIFS('ХВС, ТН'!AU$26:AU$53,'ХВС, ТН'!$F$26:$F$53,$F43,'ХВС, ТН'!$G$26:$G$53,$G43)</f>
        <v>0</v>
      </c>
      <c r="AW43" s="547">
        <f>_xlfn.SUMIFS('ХВС, ТН'!AV$26:AV$53,'ХВС, ТН'!$F$26:$F$53,$F43,'ХВС, ТН'!$G$26:$G$53,$G43)</f>
        <v>0</v>
      </c>
      <c r="AX43" s="547">
        <f>_xlfn.SUMIFS('ХВС, ТН'!AW$26:AW$53,'ХВС, ТН'!$F$26:$F$53,$F43,'ХВС, ТН'!$G$26:$G$53,$G43)</f>
        <v>0</v>
      </c>
      <c r="AY43" s="547">
        <f>_xlfn.SUMIFS('ХВС, ТН'!AX$26:AX$53,'ХВС, ТН'!$F$26:$F$53,$F43,'ХВС, ТН'!$G$26:$G$53,$G43)</f>
        <v>0</v>
      </c>
      <c r="AZ43" s="547">
        <f>_xlfn.SUMIFS('ХВС, ТН'!AY$26:AY$53,'ХВС, ТН'!$F$26:$F$53,$F43,'ХВС, ТН'!$G$26:$G$53,$G43)</f>
        <v>0</v>
      </c>
      <c r="BA43" s="547">
        <f>_xlfn.SUMIFS('ХВС, ТН'!AZ$26:AZ$53,'ХВС, ТН'!$F$26:$F$53,$F43,'ХВС, ТН'!$G$26:$G$53,$G43)</f>
        <v>0</v>
      </c>
      <c r="BB43" s="547">
        <f>_xlfn.SUMIFS('ХВС, ТН'!BA$26:BA$53,'ХВС, ТН'!$F$26:$F$53,$F43,'ХВС, ТН'!$G$26:$G$53,$G43)</f>
        <v>0</v>
      </c>
      <c r="BC43" s="547">
        <f>_xlfn.SUMIFS('ХВС, ТН'!BB$26:BB$53,'ХВС, ТН'!$F$26:$F$53,$F43,'ХВС, ТН'!$G$26:$G$53,$G43)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92"/>
      <c r="BO43" s="1792"/>
      <c r="BP43" s="1792"/>
      <c r="BQ43" s="227"/>
      <c r="BR43" s="227"/>
      <c r="BS43" s="1204" t="s">
        <v>1358</v>
      </c>
    </row>
    <row s="1642" customFormat="1" customHeight="1" ht="16.5">
      <c r="A44" s="225"/>
      <c r="B44" s="925"/>
      <c r="C44" s="225"/>
      <c r="D44" s="225"/>
      <c r="E44" s="794">
        <v>17</v>
      </c>
      <c r="F44" s="920" cm="1" t="str">
        <f t="array" ref="F44:F44">OFFSET(G44,-1,-1)</f>
        <v>1</v>
      </c>
      <c r="G44" s="190" t="s">
        <v>971</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623</v>
      </c>
      <c r="AC44" s="1002" t="s">
        <v>972</v>
      </c>
      <c r="AD44" s="170" t="s">
        <v>986</v>
      </c>
      <c r="AE44" s="307">
        <f>_xlfn.SUMIFS('ХВС, ТН'!AE$26:AE$53,'ХВС, ТН'!$F$26:$F$53,$F44,'ХВС, ТН'!$G$26:$G$53,$G44)</f>
        <v>0</v>
      </c>
      <c r="AF44" s="307">
        <f>_xlfn.SUMIFS('ХВС, ТН'!AF$26:AF$53,'ХВС, ТН'!$F$26:$F$53,$F44,'ХВС, ТН'!$G$26:$G$53,$G44)</f>
        <v>0</v>
      </c>
      <c r="AG44" s="307">
        <f>_xlfn.SUMIFS('ХВС, ТН'!AG$26:AG$53,'ХВС, ТН'!$F$26:$F$53,$F44,'ХВС, ТН'!$G$26:$G$53,$G44)</f>
        <v>0</v>
      </c>
      <c r="AH44" s="307">
        <f>AG44-AF44</f>
        <v>0</v>
      </c>
      <c r="AI44" s="547">
        <f>_xlfn.SUMIFS('ХВС, ТН'!AH$26:AH$53,'ХВС, ТН'!$F$26:$F$53,$F44,'ХВС, ТН'!$G$26:$G$53,$G44)</f>
        <v>0</v>
      </c>
      <c r="AJ44" s="547">
        <f>_xlfn.SUMIFS('ХВС, ТН'!AI$26:AI$53,'ХВС, ТН'!$F$26:$F$53,$F44,'ХВС, ТН'!$G$26:$G$53,$G44)</f>
        <v>0</v>
      </c>
      <c r="AK44" s="547">
        <f>_xlfn.SUMIFS('ХВС, ТН'!AJ$26:AJ$53,'ХВС, ТН'!$F$26:$F$53,$F44,'ХВС, ТН'!$G$26:$G$53,$G44)</f>
        <v>0</v>
      </c>
      <c r="AL44" s="547">
        <f>_xlfn.SUMIFS('ХВС, ТН'!AK$26:AK$53,'ХВС, ТН'!$F$26:$F$53,$F44,'ХВС, ТН'!$G$26:$G$53,$G44)</f>
        <v>0</v>
      </c>
      <c r="AM44" s="547">
        <f>_xlfn.SUMIFS('ХВС, ТН'!AL$26:AL$53,'ХВС, ТН'!$F$26:$F$53,$F44,'ХВС, ТН'!$G$26:$G$53,$G44)</f>
        <v>0</v>
      </c>
      <c r="AN44" s="547">
        <f>_xlfn.SUMIFS('ХВС, ТН'!AM$26:AM$53,'ХВС, ТН'!$F$26:$F$53,$F44,'ХВС, ТН'!$G$26:$G$53,$G44)</f>
        <v>0</v>
      </c>
      <c r="AO44" s="547">
        <f>_xlfn.SUMIFS('ХВС, ТН'!AN$26:AN$53,'ХВС, ТН'!$F$26:$F$53,$F44,'ХВС, ТН'!$G$26:$G$53,$G44)</f>
        <v>0</v>
      </c>
      <c r="AP44" s="547">
        <f>_xlfn.SUMIFS('ХВС, ТН'!AO$26:AO$53,'ХВС, ТН'!$F$26:$F$53,$F44,'ХВС, ТН'!$G$26:$G$53,$G44)</f>
        <v>0</v>
      </c>
      <c r="AQ44" s="547">
        <f>_xlfn.SUMIFS('ХВС, ТН'!AP$26:AP$53,'ХВС, ТН'!$F$26:$F$53,$F44,'ХВС, ТН'!$G$26:$G$53,$G44)</f>
        <v>0</v>
      </c>
      <c r="AR44" s="547">
        <f>_xlfn.SUMIFS('ХВС, ТН'!AQ$26:AQ$53,'ХВС, ТН'!$F$26:$F$53,$F44,'ХВС, ТН'!$G$26:$G$53,$G44)</f>
        <v>0</v>
      </c>
      <c r="AS44" s="547">
        <f>_xlfn.SUMIFS('ХВС, ТН'!AR$26:AR$53,'ХВС, ТН'!$F$26:$F$53,$F44,'ХВС, ТН'!$G$26:$G$53,$G44)</f>
        <v>0</v>
      </c>
      <c r="AT44" s="547">
        <f>_xlfn.SUMIFS('ХВС, ТН'!AS$26:AS$53,'ХВС, ТН'!$F$26:$F$53,$F44,'ХВС, ТН'!$G$26:$G$53,$G44)</f>
        <v>0</v>
      </c>
      <c r="AU44" s="547">
        <f>_xlfn.SUMIFS('ХВС, ТН'!AT$26:AT$53,'ХВС, ТН'!$F$26:$F$53,$F44,'ХВС, ТН'!$G$26:$G$53,$G44)</f>
        <v>0</v>
      </c>
      <c r="AV44" s="547">
        <f>_xlfn.SUMIFS('ХВС, ТН'!AU$26:AU$53,'ХВС, ТН'!$F$26:$F$53,$F44,'ХВС, ТН'!$G$26:$G$53,$G44)</f>
        <v>0</v>
      </c>
      <c r="AW44" s="547">
        <f>_xlfn.SUMIFS('ХВС, ТН'!AV$26:AV$53,'ХВС, ТН'!$F$26:$F$53,$F44,'ХВС, ТН'!$G$26:$G$53,$G44)</f>
        <v>0</v>
      </c>
      <c r="AX44" s="547">
        <f>_xlfn.SUMIFS('ХВС, ТН'!AW$26:AW$53,'ХВС, ТН'!$F$26:$F$53,$F44,'ХВС, ТН'!$G$26:$G$53,$G44)</f>
        <v>0</v>
      </c>
      <c r="AY44" s="547">
        <f>_xlfn.SUMIFS('ХВС, ТН'!AX$26:AX$53,'ХВС, ТН'!$F$26:$F$53,$F44,'ХВС, ТН'!$G$26:$G$53,$G44)</f>
        <v>0</v>
      </c>
      <c r="AZ44" s="547">
        <f>_xlfn.SUMIFS('ХВС, ТН'!AY$26:AY$53,'ХВС, ТН'!$F$26:$F$53,$F44,'ХВС, ТН'!$G$26:$G$53,$G44)</f>
        <v>0</v>
      </c>
      <c r="BA44" s="547">
        <f>_xlfn.SUMIFS('ХВС, ТН'!AZ$26:AZ$53,'ХВС, ТН'!$F$26:$F$53,$F44,'ХВС, ТН'!$G$26:$G$53,$G44)</f>
        <v>0</v>
      </c>
      <c r="BB44" s="547">
        <f>_xlfn.SUMIFS('ХВС, ТН'!BA$26:BA$53,'ХВС, ТН'!$F$26:$F$53,$F44,'ХВС, ТН'!$G$26:$G$53,$G44)</f>
        <v>0</v>
      </c>
      <c r="BC44" s="547">
        <f>_xlfn.SUMIFS('ХВС, ТН'!BB$26:BB$53,'ХВС, ТН'!$F$26:$F$53,$F44,'ХВС, ТН'!$G$26:$G$53,$G44)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92"/>
      <c r="BO44" s="1792"/>
      <c r="BP44" s="1792"/>
      <c r="BQ44" s="227"/>
      <c r="BR44" s="227"/>
      <c r="BS44" s="1204" t="s">
        <v>1359</v>
      </c>
    </row>
    <row s="1642" customFormat="1" customHeight="1" ht="16.5">
      <c r="A45" s="225"/>
      <c r="B45" s="925"/>
      <c r="C45" s="225"/>
      <c r="D45" s="225"/>
      <c r="E45" s="794">
        <v>17</v>
      </c>
      <c r="F45" s="920" cm="1" t="str">
        <f t="array" ref="F45:F45">OFFSET(G45,-1,-1)</f>
        <v>1</v>
      </c>
      <c r="G45" s="190" t="s">
        <v>1360</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626</v>
      </c>
      <c r="AC45" s="160" t="s">
        <v>1343</v>
      </c>
      <c r="AD45" s="322" t="s">
        <v>986</v>
      </c>
      <c r="AE45" s="306">
        <f>AE39+AE40+AE41+AE43+AE44</f>
        <v>0</v>
      </c>
      <c r="AF45" s="306">
        <f>AF39+AF40+AF41+AF43+AF44</f>
        <v>140942.32</v>
      </c>
      <c r="AG45" s="306">
        <f>AG39+AG40+AG41+AG43+AG44</f>
        <v>140942.32</v>
      </c>
      <c r="AH45" s="306">
        <f>AG45-AF45</f>
        <v>0</v>
      </c>
      <c r="AI45" s="1080">
        <f>AI39+AI40+AI41+AI43+AI44</f>
        <v>0</v>
      </c>
      <c r="AJ45" s="667">
        <f>AJ39+AJ40+AJ41+AJ43+AJ44</f>
        <v>297312.05</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0</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953"/>
      <c r="BO45" s="1953"/>
      <c r="BP45" s="1953"/>
      <c r="BQ45" s="227"/>
      <c r="BR45" s="227"/>
      <c r="BS45" s="1204" t="s">
        <v>587</v>
      </c>
    </row>
    <row s="1642" customFormat="1" customHeight="1" ht="16.5" hidden="1">
      <c r="A46" s="225"/>
      <c r="B46" s="925"/>
      <c r="C46" s="225"/>
      <c r="D46" s="225"/>
      <c r="E46" s="794">
        <v>17</v>
      </c>
      <c r="F46" s="920" cm="1" t="str">
        <f t="array" ref="F46:F46">OFFSET(G46,-1,-1)</f>
        <v>1</v>
      </c>
      <c r="G46" s="190" t="s">
        <v>930</v>
      </c>
      <c r="H46" s="227"/>
      <c r="I46" s="227"/>
      <c r="J46" s="227"/>
      <c r="K46" s="227"/>
      <c r="L46" s="227"/>
      <c r="M46" s="227"/>
      <c r="N46" s="227"/>
      <c r="O46" s="227"/>
      <c r="P46" s="227"/>
      <c r="Q46" s="190"/>
      <c r="R46" s="190" t="s">
        <v>931</v>
      </c>
      <c r="S46" s="227"/>
      <c r="T46" s="805" cm="1" t="str">
        <f t="array" ref="T46:T46">T42</f>
        <v>false</v>
      </c>
      <c r="U46" s="225"/>
      <c r="V46" s="225"/>
      <c r="W46" s="225"/>
      <c r="X46" s="225"/>
      <c r="Y46" s="225"/>
      <c r="Z46" s="225"/>
      <c r="AA46" s="227"/>
      <c r="AB46" s="577" t="s">
        <v>1361</v>
      </c>
      <c r="AC46" s="291" t="s">
        <v>933</v>
      </c>
      <c r="AD46" s="151" t="s">
        <v>799</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1362</v>
      </c>
    </row>
    <row customHeight="1" ht="9.945">
      <c r="E47" s="794">
        <v>10.2</v>
      </c>
      <c r="U47" s="176" t="s">
        <v>237</v>
      </c>
      <c r="V47" s="168" t="s">
        <v>1363</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7" t="s">
        <v>694</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5" t="s">
        <v>219</v>
      </c>
      <c r="AB51" s="1938"/>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236</v>
      </c>
      <c r="X52" s="172"/>
      <c r="Y52" s="172"/>
      <c r="Z52" s="172"/>
      <c r="AA52" s="210"/>
      <c r="AB52" s="1453" t="s">
        <v>695</v>
      </c>
      <c r="AC52" s="1454"/>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D9528-096B-5958-FD68-4C85CED85768}" mc:Ignorable="x14ac xr xr2 xr3">
  <sheetPr>
    <tabColor rgb="FF002060"/>
    <outlinePr summaryBelow="0"/>
  </sheetPr>
  <dimension ref="A1:AZ122"/>
  <sheetViews>
    <sheetView showGridLines="0" workbookViewId="0">
      <pane xSplit="31" ySplit="26" topLeftCell="AF116"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8.281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98"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371</v>
      </c>
      <c r="Z1" s="805" t="s">
        <v>93</v>
      </c>
      <c r="AA1" s="816" t="s">
        <v>90</v>
      </c>
      <c r="AB1" s="816" t="s">
        <v>92</v>
      </c>
      <c r="AH1" s="1498"/>
      <c r="AI1" s="1498"/>
      <c r="AJ1" s="1498"/>
      <c r="AK1" s="1498"/>
      <c r="AL1" s="1498"/>
      <c r="AN1" s="1498"/>
      <c r="AO1" s="1498"/>
      <c r="AP1" s="1498"/>
      <c r="AQ1" s="1498"/>
      <c r="AR1" s="1498"/>
      <c r="AZ1" s="1171" t="s">
        <v>372</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98" customFormat="1" customHeight="1" ht="12" hidden="1">
      <c r="B3" s="785"/>
      <c r="E3" s="785"/>
      <c r="G3" s="733"/>
      <c r="H3" s="733"/>
      <c r="I3" s="733"/>
      <c r="J3" s="733"/>
      <c r="K3" s="733"/>
      <c r="L3" s="733"/>
      <c r="M3" s="733"/>
      <c r="N3" s="733"/>
      <c r="O3" s="733"/>
      <c r="P3" s="733"/>
      <c r="Q3" s="736"/>
      <c r="R3" s="736"/>
      <c r="S3" s="733"/>
      <c r="AH3" s="1498"/>
      <c r="AI3" s="1498"/>
      <c r="AJ3" s="1498"/>
      <c r="AK3" s="1498"/>
      <c r="AL3" s="1498"/>
      <c r="AN3" s="1498"/>
      <c r="AO3" s="1498"/>
      <c r="AP3" s="1498"/>
      <c r="AQ3" s="1498"/>
      <c r="AR3" s="1498"/>
      <c r="AZ3" s="1171"/>
    </row>
    <row s="1498" customFormat="1" customHeight="1" ht="12" hidden="1">
      <c r="B4" s="785"/>
      <c r="E4" s="785"/>
      <c r="G4" s="733"/>
      <c r="H4" s="733"/>
      <c r="I4" s="733"/>
      <c r="J4" s="733"/>
      <c r="K4" s="733"/>
      <c r="L4" s="733"/>
      <c r="M4" s="733"/>
      <c r="N4" s="733"/>
      <c r="O4" s="733"/>
      <c r="P4" s="733"/>
      <c r="Q4" s="736"/>
      <c r="R4" s="736"/>
      <c r="S4" s="733"/>
      <c r="AH4" s="1498"/>
      <c r="AI4" s="1498"/>
      <c r="AJ4" s="1498"/>
      <c r="AK4" s="1498"/>
      <c r="AL4" s="1498"/>
      <c r="AN4" s="1498"/>
      <c r="AO4" s="1498"/>
      <c r="AP4" s="1498"/>
      <c r="AQ4" s="1498"/>
      <c r="AR4" s="1498"/>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98"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424</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425</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98" customFormat="1" customHeight="1" ht="12" hidden="1">
      <c r="B11" s="785"/>
      <c r="E11" s="794"/>
      <c r="G11" s="733"/>
      <c r="H11" s="733"/>
      <c r="I11" s="733"/>
      <c r="J11" s="733"/>
      <c r="K11" s="733"/>
      <c r="L11" s="733"/>
      <c r="M11" s="733"/>
      <c r="N11" s="733"/>
      <c r="O11" s="733"/>
      <c r="P11" s="733"/>
      <c r="Q11" s="736"/>
      <c r="R11" s="736"/>
      <c r="S11" s="733"/>
      <c r="AH11" s="1498"/>
      <c r="AI11" s="1498"/>
      <c r="AJ11" s="1498"/>
      <c r="AK11" s="1498"/>
      <c r="AL11" s="1498"/>
      <c r="AN11" s="1498"/>
      <c r="AO11" s="1498"/>
      <c r="AP11" s="1498"/>
      <c r="AQ11" s="1498"/>
      <c r="AR11" s="1498"/>
      <c r="AZ11" s="1171"/>
    </row>
    <row s="1498" customFormat="1" customHeight="1" ht="12" hidden="1">
      <c r="B12" s="785"/>
      <c r="E12" s="794"/>
      <c r="G12" s="733"/>
      <c r="H12" s="733"/>
      <c r="I12" s="733"/>
      <c r="J12" s="733"/>
      <c r="K12" s="733"/>
      <c r="L12" s="733"/>
      <c r="M12" s="733"/>
      <c r="N12" s="733"/>
      <c r="O12" s="733"/>
      <c r="P12" s="733"/>
      <c r="Q12" s="736"/>
      <c r="R12" s="736"/>
      <c r="S12" s="733"/>
      <c r="AH12" s="1498"/>
      <c r="AI12" s="1498"/>
      <c r="AJ12" s="1498"/>
      <c r="AK12" s="1498"/>
      <c r="AL12" s="1498"/>
      <c r="AN12" s="1498"/>
      <c r="AO12" s="1498"/>
      <c r="AP12" s="1498"/>
      <c r="AQ12" s="1498"/>
      <c r="AR12" s="1498"/>
      <c r="AZ12" s="1171"/>
    </row>
    <row s="1498" customFormat="1" customHeight="1" ht="12" hidden="1">
      <c r="B13" s="785"/>
      <c r="E13" s="794"/>
      <c r="G13" s="733"/>
      <c r="H13" s="733"/>
      <c r="I13" s="733"/>
      <c r="J13" s="733"/>
      <c r="K13" s="733"/>
      <c r="L13" s="733"/>
      <c r="M13" s="733"/>
      <c r="N13" s="733"/>
      <c r="O13" s="733"/>
      <c r="P13" s="733"/>
      <c r="Q13" s="736"/>
      <c r="R13" s="736"/>
      <c r="S13" s="733"/>
      <c r="AH13" s="1498"/>
      <c r="AI13" s="1498"/>
      <c r="AJ13" s="1498"/>
      <c r="AK13" s="1498"/>
      <c r="AL13" s="1498"/>
      <c r="AN13" s="1498"/>
      <c r="AO13" s="1498"/>
      <c r="AP13" s="1498"/>
      <c r="AQ13" s="1498"/>
      <c r="AR13" s="1498"/>
      <c r="AZ13" s="1171"/>
    </row>
    <row s="1498" customFormat="1" customHeight="1" ht="12" hidden="1">
      <c r="B14" s="785"/>
      <c r="E14" s="794"/>
      <c r="G14" s="733"/>
      <c r="H14" s="733"/>
      <c r="I14" s="733"/>
      <c r="J14" s="733"/>
      <c r="K14" s="733"/>
      <c r="L14" s="733"/>
      <c r="M14" s="733"/>
      <c r="N14" s="733"/>
      <c r="O14" s="733"/>
      <c r="P14" s="733"/>
      <c r="Q14" s="736"/>
      <c r="R14" s="736"/>
      <c r="S14" s="733"/>
      <c r="AH14" s="1498"/>
      <c r="AI14" s="1498"/>
      <c r="AJ14" s="1498"/>
      <c r="AK14" s="1498"/>
      <c r="AL14" s="1498"/>
      <c r="AN14" s="1498"/>
      <c r="AO14" s="1498"/>
      <c r="AP14" s="1498"/>
      <c r="AQ14" s="1498"/>
      <c r="AR14" s="1498"/>
      <c r="AZ14" s="1171"/>
    </row>
    <row s="1498" customFormat="1" customHeight="1" ht="12" hidden="1">
      <c r="B15" s="785"/>
      <c r="E15" s="794"/>
      <c r="G15" s="733"/>
      <c r="H15" s="733"/>
      <c r="I15" s="733"/>
      <c r="J15" s="733"/>
      <c r="K15" s="733"/>
      <c r="L15" s="733"/>
      <c r="M15" s="733"/>
      <c r="N15" s="733"/>
      <c r="O15" s="733"/>
      <c r="P15" s="733"/>
      <c r="Q15" s="736"/>
      <c r="R15" s="736"/>
      <c r="S15" s="733"/>
      <c r="AH15" s="1498"/>
      <c r="AI15" s="1498"/>
      <c r="AJ15" s="1498"/>
      <c r="AK15" s="1498"/>
      <c r="AL15" s="1498"/>
      <c r="AN15" s="1498"/>
      <c r="AO15" s="1498"/>
      <c r="AP15" s="1498"/>
      <c r="AQ15" s="1498"/>
      <c r="AR15" s="1498"/>
      <c r="AZ15" s="1171"/>
    </row>
    <row s="1498" customFormat="1" customHeight="1" ht="12" hidden="1">
      <c r="B16" s="785"/>
      <c r="E16" s="794"/>
      <c r="G16" s="733"/>
      <c r="H16" s="733"/>
      <c r="I16" s="733"/>
      <c r="J16" s="733"/>
      <c r="K16" s="733"/>
      <c r="L16" s="733"/>
      <c r="M16" s="733"/>
      <c r="N16" s="733"/>
      <c r="O16" s="733"/>
      <c r="P16" s="733"/>
      <c r="Q16" s="736"/>
      <c r="R16" s="736"/>
      <c r="S16" s="733"/>
      <c r="AH16" s="1498"/>
      <c r="AI16" s="1498"/>
      <c r="AJ16" s="1498"/>
      <c r="AK16" s="1498"/>
      <c r="AL16" s="1498"/>
      <c r="AN16" s="1498"/>
      <c r="AO16" s="1498"/>
      <c r="AP16" s="1498"/>
      <c r="AQ16" s="1498"/>
      <c r="AR16" s="1498"/>
      <c r="AZ16" s="1171"/>
    </row>
    <row s="1498" customFormat="1" customHeight="1" ht="12" hidden="1">
      <c r="B17" s="785"/>
      <c r="E17" s="794"/>
      <c r="G17" s="733"/>
      <c r="H17" s="733"/>
      <c r="I17" s="733"/>
      <c r="J17" s="733"/>
      <c r="K17" s="733"/>
      <c r="L17" s="733"/>
      <c r="M17" s="733"/>
      <c r="N17" s="733"/>
      <c r="O17" s="733"/>
      <c r="P17" s="733"/>
      <c r="Q17" s="736"/>
      <c r="R17" s="736"/>
      <c r="S17" s="733"/>
      <c r="AH17" s="1498"/>
      <c r="AI17" s="1498"/>
      <c r="AJ17" s="1498"/>
      <c r="AK17" s="1498"/>
      <c r="AL17" s="1498"/>
      <c r="AN17" s="1498"/>
      <c r="AO17" s="1498"/>
      <c r="AP17" s="1498"/>
      <c r="AQ17" s="1498"/>
      <c r="AR17" s="1498"/>
      <c r="AZ17" s="1171"/>
    </row>
    <row s="1498" customFormat="1" customHeight="1" ht="12" hidden="1">
      <c r="B18" s="785"/>
      <c r="E18" s="794"/>
      <c r="G18" s="733"/>
      <c r="H18" s="733"/>
      <c r="I18" s="733"/>
      <c r="J18" s="733"/>
      <c r="K18" s="733"/>
      <c r="L18" s="733"/>
      <c r="M18" s="733"/>
      <c r="N18" s="733"/>
      <c r="O18" s="733"/>
      <c r="P18" s="733"/>
      <c r="Q18" s="736"/>
      <c r="R18" s="736"/>
      <c r="S18" s="733"/>
      <c r="AH18" s="1498"/>
      <c r="AI18" s="1498"/>
      <c r="AJ18" s="1498"/>
      <c r="AK18" s="1498"/>
      <c r="AL18" s="1498"/>
      <c r="AN18" s="1498"/>
      <c r="AO18" s="1498"/>
      <c r="AP18" s="1498"/>
      <c r="AQ18" s="1498"/>
      <c r="AR18" s="1498"/>
      <c r="AZ18" s="1171"/>
    </row>
    <row s="1498" customFormat="1" customHeight="1" ht="12" hidden="1">
      <c r="B19" s="785"/>
      <c r="E19" s="794"/>
      <c r="G19" s="733"/>
      <c r="H19" s="733"/>
      <c r="I19" s="733"/>
      <c r="J19" s="733"/>
      <c r="K19" s="733"/>
      <c r="L19" s="733"/>
      <c r="M19" s="733"/>
      <c r="N19" s="733"/>
      <c r="O19" s="733"/>
      <c r="P19" s="733"/>
      <c r="Q19" s="736"/>
      <c r="R19" s="736"/>
      <c r="S19" s="733"/>
      <c r="AH19" s="1498"/>
      <c r="AI19" s="1498"/>
      <c r="AJ19" s="1498"/>
      <c r="AK19" s="1498"/>
      <c r="AL19" s="1498"/>
      <c r="AN19" s="1498"/>
      <c r="AO19" s="1498"/>
      <c r="AP19" s="1498"/>
      <c r="AQ19" s="1498"/>
      <c r="AR19" s="1498"/>
      <c r="AZ19" s="1171"/>
    </row>
    <row s="1498" customFormat="1" customHeight="1" ht="11.115" hidden="1">
      <c r="B20" s="785"/>
      <c r="E20" s="794">
        <v>11.4</v>
      </c>
      <c r="G20" s="733"/>
      <c r="H20" s="733"/>
      <c r="I20" s="733"/>
      <c r="J20" s="733"/>
      <c r="K20" s="733"/>
      <c r="L20" s="733"/>
      <c r="M20" s="733"/>
      <c r="N20" s="733"/>
      <c r="O20" s="733"/>
      <c r="P20" s="733"/>
      <c r="Q20" s="736"/>
      <c r="R20" s="736"/>
      <c r="S20" s="733"/>
      <c r="AH20" s="1498"/>
      <c r="AI20" s="1498"/>
      <c r="AJ20" s="1498"/>
      <c r="AK20" s="1498"/>
      <c r="AL20" s="1498"/>
      <c r="AN20" s="1498"/>
      <c r="AO20" s="1498"/>
      <c r="AP20" s="1498"/>
      <c r="AQ20" s="1498"/>
      <c r="AR20" s="1498"/>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Ульяновская область / 2026 / ООО "НИИАР-ГЕНЕРАЦИЯ" (ИНН:7329008990, КПП:732901001)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29" t="s">
        <v>1364</v>
      </c>
      <c r="AC25" s="1531" t="s">
        <v>427</v>
      </c>
      <c r="AD25" s="1531" t="s">
        <v>1365</v>
      </c>
      <c r="AE25" s="1529" t="s">
        <v>1366</v>
      </c>
      <c r="AF25" s="1361">
        <f>god-2</f>
        <v>2024</v>
      </c>
      <c r="AG25" s="302">
        <f>god-2</f>
        <v>2024</v>
      </c>
      <c r="AH25" s="541"/>
      <c r="AI25" s="673"/>
      <c r="AJ25" s="673"/>
      <c r="AK25" s="536"/>
      <c r="AL25" s="536"/>
      <c r="AN25" s="536"/>
      <c r="AO25" s="536"/>
      <c r="AP25" s="536"/>
      <c r="AQ25" s="536"/>
      <c r="AR25" s="536"/>
    </row>
    <row customHeight="1" ht="22.23">
      <c r="E26" s="794">
        <v>22.8</v>
      </c>
      <c r="AB26" s="1530"/>
      <c r="AC26" s="1532"/>
      <c r="AD26" s="1532"/>
      <c r="AE26" s="1530"/>
      <c r="AF26" s="1362" t="s">
        <v>583</v>
      </c>
      <c r="AG26" s="154" t="s">
        <v>401</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311</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337</v>
      </c>
      <c r="AC29" s="624" t="s">
        <v>63</v>
      </c>
      <c r="AD29" s="625" t="s">
        <v>1367</v>
      </c>
      <c r="AE29" s="626" t="s">
        <v>1368</v>
      </c>
      <c r="AF29" s="364">
        <f>AF30-AF68</f>
        <v>0</v>
      </c>
      <c r="AG29" s="364">
        <f>AG30-AG68</f>
        <v>0</v>
      </c>
      <c r="AI29" s="536"/>
      <c r="AJ29" s="536"/>
      <c r="AO29" s="536"/>
      <c r="AP29" s="536"/>
      <c r="AZ29" s="1182" t="s">
        <v>1369</v>
      </c>
    </row>
    <row customHeight="1" ht="51.1875" hidden="1">
      <c r="E30" s="794">
        <v>52.5</v>
      </c>
      <c r="F30" s="920" cm="1" t="str">
        <f t="array" ref="F30:F30">F29</f>
        <v>0</v>
      </c>
      <c r="T30" s="816" cm="1" t="str">
        <f t="array" ref="T30:T30">T29</f>
        <v>false</v>
      </c>
      <c r="AB30" s="170" t="s">
        <v>436</v>
      </c>
      <c r="AC30" s="161" t="s">
        <v>1370</v>
      </c>
      <c r="AD30" s="625" t="s">
        <v>1371</v>
      </c>
      <c r="AE30" s="626" t="s">
        <v>1368</v>
      </c>
      <c r="AF30" s="364">
        <f>AF32+AF33+AF59+AF60+AF62+AF63+AF64+AF65-AF66+AF67</f>
        <v>0</v>
      </c>
      <c r="AG30" s="75">
        <f>AG32+AG33+AG59+AG60+AG62+AG63+AG64+AG65-AG66+AG67</f>
        <v>0</v>
      </c>
      <c r="AI30" s="536"/>
      <c r="AJ30" s="536"/>
      <c r="AO30" s="536"/>
      <c r="AP30" s="536"/>
      <c r="AZ30" s="1182" t="s">
        <v>1372</v>
      </c>
    </row>
    <row customHeight="1" ht="27.105" hidden="1">
      <c r="E31" s="794">
        <v>27.8</v>
      </c>
      <c r="F31" s="920" cm="1" t="str">
        <f t="array" ref="F31:F31">F30</f>
        <v>0</v>
      </c>
      <c r="T31" s="816" cm="1" t="str">
        <f t="array" ref="T31:T31">T30</f>
        <v>false</v>
      </c>
      <c r="AB31" s="170"/>
      <c r="AC31" s="633" t="s">
        <v>1373</v>
      </c>
      <c r="AD31" s="627" t="s">
        <v>1374</v>
      </c>
      <c r="AE31" s="626" t="s">
        <v>1368</v>
      </c>
      <c r="AF31" s="75"/>
      <c r="AG31" s="75"/>
      <c r="AI31" s="536"/>
      <c r="AJ31" s="536"/>
      <c r="AO31" s="536"/>
      <c r="AP31" s="536"/>
      <c r="AZ31" s="1182" t="s">
        <v>1375</v>
      </c>
    </row>
    <row customHeight="1" ht="29.25" hidden="1">
      <c r="E32" s="794">
        <v>30</v>
      </c>
      <c r="F32" s="920" cm="1" t="str">
        <f t="array" ref="F32:F32">F31</f>
        <v>0</v>
      </c>
      <c r="G32" s="736" t="s">
        <v>1259</v>
      </c>
      <c r="T32" s="816" cm="1" t="str">
        <f t="array" ref="T32:T32">T31</f>
        <v>false</v>
      </c>
      <c r="AB32" s="170" t="s">
        <v>1119</v>
      </c>
      <c r="AC32" s="559" t="s">
        <v>1376</v>
      </c>
      <c r="AD32" s="628" t="s">
        <v>1377</v>
      </c>
      <c r="AE32" s="625" t="s">
        <v>1368</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I32" s="536"/>
      <c r="AJ32" s="536"/>
      <c r="AO32" s="536"/>
      <c r="AP32" s="536"/>
      <c r="AZ32" s="1182" t="s">
        <v>1378</v>
      </c>
    </row>
    <row customHeight="1" ht="40.2675" hidden="1">
      <c r="E33" s="794">
        <v>41.3</v>
      </c>
      <c r="F33" s="920" cm="1" t="str">
        <f t="array" ref="F33:F33">F32</f>
        <v>0</v>
      </c>
      <c r="T33" s="816" cm="1" t="str">
        <f t="array" ref="T33:T33">T32</f>
        <v>false</v>
      </c>
      <c r="AB33" s="170" t="s">
        <v>1123</v>
      </c>
      <c r="AC33" s="559" t="s">
        <v>1379</v>
      </c>
      <c r="AD33" s="628" t="s">
        <v>1380</v>
      </c>
      <c r="AE33" s="625" t="s">
        <v>1368</v>
      </c>
      <c r="AF33" s="364">
        <f>AF34+AF38</f>
        <v>0</v>
      </c>
      <c r="AG33" s="364">
        <f>AG34+AG38</f>
        <v>0</v>
      </c>
      <c r="AI33" s="536"/>
      <c r="AJ33" s="536"/>
      <c r="AO33" s="536"/>
      <c r="AP33" s="536"/>
      <c r="AZ33" s="1182" t="s">
        <v>1381</v>
      </c>
    </row>
    <row customHeight="1" ht="55.57500000000001" hidden="1">
      <c r="E34" s="794">
        <v>57</v>
      </c>
      <c r="F34" s="920" cm="1" t="str">
        <f t="array" ref="F34:F34">F33</f>
        <v>0</v>
      </c>
      <c r="G34" s="736" t="s">
        <v>1353</v>
      </c>
      <c r="T34" s="816" cm="1" t="str">
        <f t="array" ref="T34:T34">T33</f>
        <v>false</v>
      </c>
      <c r="AB34" s="170" t="s">
        <v>1382</v>
      </c>
      <c r="AC34" s="578" t="s">
        <v>1383</v>
      </c>
      <c r="AD34" s="166" t="s">
        <v>1384</v>
      </c>
      <c r="AE34" s="626" t="s">
        <v>1368</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1385</v>
      </c>
    </row>
    <row customHeight="1" ht="24.862499999999997" hidden="1">
      <c r="E35" s="794">
        <v>25.5</v>
      </c>
      <c r="F35" s="920" cm="1" t="str">
        <f t="array" ref="F35:F35">F34</f>
        <v>0</v>
      </c>
      <c r="T35" s="816" cm="1" t="str">
        <f t="array" ref="T35:T35">T34</f>
        <v>false</v>
      </c>
      <c r="AB35" s="170" t="s">
        <v>1386</v>
      </c>
      <c r="AC35" s="630" t="s">
        <v>1387</v>
      </c>
      <c r="AD35" s="166" t="s">
        <v>1388</v>
      </c>
      <c r="AE35" s="626" t="s">
        <v>767</v>
      </c>
      <c r="AF35" s="75"/>
      <c r="AG35" s="75"/>
      <c r="AI35" s="536"/>
      <c r="AJ35" s="536"/>
      <c r="AO35" s="536"/>
      <c r="AP35" s="536"/>
      <c r="AZ35" s="1182" t="s">
        <v>1389</v>
      </c>
    </row>
    <row customHeight="1" ht="38.805" hidden="1">
      <c r="E36" s="794">
        <v>39.8</v>
      </c>
      <c r="F36" s="920" cm="1" t="str">
        <f t="array" ref="F36:F36">F35</f>
        <v>0</v>
      </c>
      <c r="T36" s="816" cm="1" t="str">
        <f t="array" ref="T36:T36">T35</f>
        <v>false</v>
      </c>
      <c r="AB36" s="170" t="s">
        <v>1390</v>
      </c>
      <c r="AC36" s="630" t="s">
        <v>1391</v>
      </c>
      <c r="AD36" s="166" t="s">
        <v>1392</v>
      </c>
      <c r="AE36" s="626" t="s">
        <v>586</v>
      </c>
      <c r="AF36" s="75"/>
      <c r="AG36" s="75"/>
      <c r="AI36" s="536"/>
      <c r="AJ36" s="536"/>
      <c r="AO36" s="536"/>
      <c r="AP36" s="536"/>
      <c r="AZ36" s="1182" t="s">
        <v>1393</v>
      </c>
    </row>
    <row customHeight="1" ht="23.400000000000002" hidden="1">
      <c r="E37" s="794">
        <v>24</v>
      </c>
      <c r="F37" s="920" cm="1" t="str">
        <f t="array" ref="F37:F37">F36</f>
        <v>0</v>
      </c>
      <c r="T37" s="816" cm="1" t="str">
        <f t="array" ref="T37:T37">T36</f>
        <v>false</v>
      </c>
      <c r="AB37" s="170" t="s">
        <v>1394</v>
      </c>
      <c r="AC37" s="630" t="s">
        <v>1395</v>
      </c>
      <c r="AD37" s="166" t="s">
        <v>1396</v>
      </c>
      <c r="AE37" s="626" t="s">
        <v>1397</v>
      </c>
      <c r="AF37" s="75"/>
      <c r="AG37" s="75"/>
      <c r="AI37" s="536"/>
      <c r="AJ37" s="536"/>
      <c r="AO37" s="536"/>
      <c r="AP37" s="536"/>
      <c r="AZ37" s="1182" t="s">
        <v>1398</v>
      </c>
    </row>
    <row customHeight="1" ht="56.355" hidden="1">
      <c r="E38" s="794">
        <v>57.8</v>
      </c>
      <c r="F38" s="920" cm="1" t="str">
        <f t="array" ref="F38:F38">F37</f>
        <v>0</v>
      </c>
      <c r="T38" s="816" cm="1" t="str">
        <f t="array" ref="T38:T38">T37</f>
        <v>false</v>
      </c>
      <c r="AB38" s="170" t="s">
        <v>1399</v>
      </c>
      <c r="AC38" s="559" t="s">
        <v>1400</v>
      </c>
      <c r="AD38" s="166" t="s">
        <v>1401</v>
      </c>
      <c r="AE38" s="626" t="s">
        <v>1368</v>
      </c>
      <c r="AF38" s="364">
        <f>AF39+AF44+AF49+AF54</f>
        <v>0</v>
      </c>
      <c r="AG38" s="364">
        <f>AG39+AG44+AG49+AG54</f>
        <v>0</v>
      </c>
      <c r="AI38" s="536"/>
      <c r="AJ38" s="536"/>
      <c r="AO38" s="536"/>
      <c r="AP38" s="536"/>
      <c r="AZ38" s="1182" t="s">
        <v>1402</v>
      </c>
    </row>
    <row customHeight="1" ht="19.7925" hidden="1">
      <c r="E39" s="794">
        <v>20.3</v>
      </c>
      <c r="F39" s="920" cm="1" t="str">
        <f t="array" ref="F39:F39">F38</f>
        <v>0</v>
      </c>
      <c r="G39" s="736" t="s">
        <v>893</v>
      </c>
      <c r="T39" s="816" cm="1" t="str">
        <f t="array" ref="T39:T39">T38</f>
        <v>false</v>
      </c>
      <c r="AB39" s="170" t="s">
        <v>1403</v>
      </c>
      <c r="AC39" s="578" t="s">
        <v>1404</v>
      </c>
      <c r="AD39" s="628"/>
      <c r="AE39" s="626" t="s">
        <v>1368</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1405</v>
      </c>
    </row>
    <row customHeight="1" ht="27.105" hidden="1">
      <c r="E40" s="794">
        <v>27.8</v>
      </c>
      <c r="F40" s="920" cm="1" t="str">
        <f t="array" ref="F40:F40">F39</f>
        <v>0</v>
      </c>
      <c r="T40" s="816" cm="1" t="str">
        <f t="array" ref="T40:T40">T39</f>
        <v>false</v>
      </c>
      <c r="AB40" s="170" t="s">
        <v>1406</v>
      </c>
      <c r="AC40" s="630" t="s">
        <v>1407</v>
      </c>
      <c r="AD40" s="166" t="s">
        <v>1408</v>
      </c>
      <c r="AE40" s="154" t="s">
        <v>1409</v>
      </c>
      <c r="AF40" s="75"/>
      <c r="AG40" s="75"/>
      <c r="AI40" s="536"/>
      <c r="AJ40" s="536"/>
      <c r="AO40" s="536"/>
      <c r="AP40" s="536"/>
      <c r="AZ40" s="1182" t="s">
        <v>914</v>
      </c>
    </row>
    <row customHeight="1" ht="26.325000000000003" hidden="1">
      <c r="E41" s="794">
        <v>27</v>
      </c>
      <c r="F41" s="920" cm="1" t="str">
        <f t="array" ref="F41:F41">F40</f>
        <v>0</v>
      </c>
      <c r="T41" s="816" cm="1" t="str">
        <f t="array" ref="T41:T41">T40</f>
        <v>false</v>
      </c>
      <c r="AB41" s="170" t="s">
        <v>1410</v>
      </c>
      <c r="AC41" s="630" t="s">
        <v>1411</v>
      </c>
      <c r="AD41" s="166" t="s">
        <v>1412</v>
      </c>
      <c r="AE41" s="626" t="s">
        <v>586</v>
      </c>
      <c r="AF41" s="75"/>
      <c r="AG41" s="75"/>
      <c r="AI41" s="536"/>
      <c r="AJ41" s="536"/>
      <c r="AO41" s="536"/>
      <c r="AP41" s="536"/>
      <c r="AZ41" s="1182" t="s">
        <v>1413</v>
      </c>
    </row>
    <row customHeight="1" ht="28.567500000000006" hidden="1">
      <c r="E42" s="794">
        <v>29.3</v>
      </c>
      <c r="F42" s="920" cm="1" t="str">
        <f t="array" ref="F42:F42">F41</f>
        <v>0</v>
      </c>
      <c r="T42" s="816" cm="1" t="str">
        <f t="array" ref="T42:T42">T41</f>
        <v>false</v>
      </c>
      <c r="AB42" s="170" t="s">
        <v>1414</v>
      </c>
      <c r="AC42" s="630" t="s">
        <v>1415</v>
      </c>
      <c r="AD42" s="166" t="s">
        <v>1416</v>
      </c>
      <c r="AE42" s="626" t="s">
        <v>586</v>
      </c>
      <c r="AF42" s="75"/>
      <c r="AG42" s="75"/>
      <c r="AI42" s="536"/>
      <c r="AJ42" s="536"/>
      <c r="AO42" s="536"/>
      <c r="AP42" s="536"/>
      <c r="AZ42" s="1182" t="s">
        <v>1417</v>
      </c>
    </row>
    <row customHeight="1" ht="33.6375" hidden="1">
      <c r="E43" s="794">
        <v>34.5</v>
      </c>
      <c r="F43" s="920" cm="1" t="str">
        <f t="array" ref="F43:F43">F42</f>
        <v>0</v>
      </c>
      <c r="T43" s="816" cm="1" t="str">
        <f t="array" ref="T43:T43">T42</f>
        <v>false</v>
      </c>
      <c r="AB43" s="170" t="s">
        <v>1418</v>
      </c>
      <c r="AC43" s="630" t="s">
        <v>1419</v>
      </c>
      <c r="AD43" s="166" t="s">
        <v>1420</v>
      </c>
      <c r="AE43" s="626" t="s">
        <v>903</v>
      </c>
      <c r="AF43" s="75"/>
      <c r="AG43" s="75"/>
      <c r="AI43" s="536"/>
      <c r="AJ43" s="536"/>
      <c r="AO43" s="536"/>
      <c r="AP43" s="536"/>
      <c r="AZ43" s="1182" t="s">
        <v>1421</v>
      </c>
    </row>
    <row customHeight="1" ht="16.867500000000003" hidden="1">
      <c r="E44" s="794">
        <v>17.3</v>
      </c>
      <c r="F44" s="920" cm="1" t="str">
        <f t="array" ref="F44:F44">F43</f>
        <v>0</v>
      </c>
      <c r="G44" s="736" t="s">
        <v>960</v>
      </c>
      <c r="T44" s="816" cm="1" t="str">
        <f t="array" ref="T44:T44">T43</f>
        <v>false</v>
      </c>
      <c r="AB44" s="170" t="s">
        <v>1422</v>
      </c>
      <c r="AC44" s="578" t="s">
        <v>1423</v>
      </c>
      <c r="AD44" s="628"/>
      <c r="AE44" s="626" t="s">
        <v>1368</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1424</v>
      </c>
    </row>
    <row customHeight="1" ht="30.03" hidden="1">
      <c r="E45" s="794">
        <v>30.8</v>
      </c>
      <c r="F45" s="920" cm="1" t="str">
        <f t="array" ref="F45:F45">F44</f>
        <v>0</v>
      </c>
      <c r="T45" s="816" cm="1" t="str">
        <f t="array" ref="T45:T45">T44</f>
        <v>false</v>
      </c>
      <c r="AB45" s="170" t="s">
        <v>1425</v>
      </c>
      <c r="AC45" s="630" t="s">
        <v>1426</v>
      </c>
      <c r="AD45" s="166" t="s">
        <v>1427</v>
      </c>
      <c r="AE45" s="626" t="s">
        <v>1428</v>
      </c>
      <c r="AF45" s="75"/>
      <c r="AG45" s="75"/>
      <c r="AI45" s="536"/>
      <c r="AJ45" s="536"/>
      <c r="AO45" s="536"/>
      <c r="AP45" s="536"/>
      <c r="AZ45" s="1182" t="s">
        <v>969</v>
      </c>
    </row>
    <row customHeight="1" ht="30.03" hidden="1">
      <c r="E46" s="794">
        <v>30.8</v>
      </c>
      <c r="F46" s="920" cm="1" t="str">
        <f t="array" ref="F46:F46">F45</f>
        <v>0</v>
      </c>
      <c r="T46" s="816" cm="1" t="str">
        <f t="array" ref="T46:T46">T45</f>
        <v>false</v>
      </c>
      <c r="AB46" s="170" t="s">
        <v>1429</v>
      </c>
      <c r="AC46" s="630" t="s">
        <v>1411</v>
      </c>
      <c r="AD46" s="166" t="s">
        <v>1412</v>
      </c>
      <c r="AE46" s="626" t="s">
        <v>586</v>
      </c>
      <c r="AF46" s="75"/>
      <c r="AG46" s="75"/>
      <c r="AI46" s="536"/>
      <c r="AJ46" s="536"/>
      <c r="AO46" s="536"/>
      <c r="AP46" s="536"/>
      <c r="AZ46" s="1182" t="s">
        <v>1430</v>
      </c>
    </row>
    <row customHeight="1" ht="29.25" hidden="1">
      <c r="E47" s="794">
        <v>30</v>
      </c>
      <c r="F47" s="920" cm="1" t="str">
        <f t="array" ref="F47:F47">F46</f>
        <v>0</v>
      </c>
      <c r="T47" s="816" cm="1" t="str">
        <f t="array" ref="T47:T47">T46</f>
        <v>false</v>
      </c>
      <c r="AB47" s="170" t="s">
        <v>1431</v>
      </c>
      <c r="AC47" s="630" t="s">
        <v>1415</v>
      </c>
      <c r="AD47" s="166" t="s">
        <v>1416</v>
      </c>
      <c r="AE47" s="626" t="s">
        <v>586</v>
      </c>
      <c r="AF47" s="75"/>
      <c r="AG47" s="75"/>
      <c r="AI47" s="536"/>
      <c r="AJ47" s="536"/>
      <c r="AO47" s="536"/>
      <c r="AP47" s="536"/>
      <c r="AZ47" s="1182" t="s">
        <v>1432</v>
      </c>
    </row>
    <row customHeight="1" ht="21.255000000000003" hidden="1">
      <c r="E48" s="794">
        <v>21.8</v>
      </c>
      <c r="F48" s="920" cm="1" t="str">
        <f t="array" ref="F48:F48">F47</f>
        <v>0</v>
      </c>
      <c r="T48" s="816" cm="1" t="str">
        <f t="array" ref="T48:T48">T47</f>
        <v>false</v>
      </c>
      <c r="AB48" s="170" t="s">
        <v>1433</v>
      </c>
      <c r="AC48" s="630" t="s">
        <v>1434</v>
      </c>
      <c r="AD48" s="166" t="s">
        <v>1420</v>
      </c>
      <c r="AE48" s="626" t="s">
        <v>1435</v>
      </c>
      <c r="AF48" s="75"/>
      <c r="AG48" s="75"/>
      <c r="AI48" s="536"/>
      <c r="AJ48" s="536"/>
      <c r="AO48" s="536"/>
      <c r="AP48" s="536"/>
      <c r="AZ48" s="1182" t="s">
        <v>1436</v>
      </c>
    </row>
    <row customHeight="1" ht="16.0875" hidden="1">
      <c r="E49" s="794">
        <v>16.5</v>
      </c>
      <c r="F49" s="920" cm="1" t="str">
        <f t="array" ref="F49:F49">F48</f>
        <v>0</v>
      </c>
      <c r="G49" s="736" t="s">
        <v>928</v>
      </c>
      <c r="T49" s="816" cm="1" t="str">
        <f t="array" ref="T49:T49">T48</f>
        <v>false</v>
      </c>
      <c r="AB49" s="170" t="s">
        <v>1437</v>
      </c>
      <c r="AC49" s="578" t="s">
        <v>1438</v>
      </c>
      <c r="AD49" s="628"/>
      <c r="AE49" s="626" t="s">
        <v>1368</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1439</v>
      </c>
    </row>
    <row customHeight="1" ht="28.567500000000006" hidden="1">
      <c r="E50" s="794">
        <v>29.3</v>
      </c>
      <c r="F50" s="920" cm="1" t="str">
        <f t="array" ref="F50:F50">F49</f>
        <v>0</v>
      </c>
      <c r="T50" s="816" cm="1" t="str">
        <f t="array" ref="T50:T50">T49</f>
        <v>false</v>
      </c>
      <c r="AB50" s="170" t="s">
        <v>1440</v>
      </c>
      <c r="AC50" s="630" t="s">
        <v>1441</v>
      </c>
      <c r="AD50" s="166" t="s">
        <v>1442</v>
      </c>
      <c r="AE50" s="626" t="s">
        <v>586</v>
      </c>
      <c r="AF50" s="75"/>
      <c r="AG50" s="75"/>
      <c r="AI50" s="536"/>
      <c r="AJ50" s="536"/>
      <c r="AO50" s="536"/>
      <c r="AP50" s="536"/>
      <c r="AZ50" s="1182" t="s">
        <v>950</v>
      </c>
    </row>
    <row customHeight="1" ht="30.712500000000002" hidden="1">
      <c r="E51" s="794">
        <v>31.5</v>
      </c>
      <c r="F51" s="920" cm="1" t="str">
        <f t="array" ref="F51:F51">F50</f>
        <v>0</v>
      </c>
      <c r="T51" s="816" cm="1" t="str">
        <f t="array" ref="T51:T51">T50</f>
        <v>false</v>
      </c>
      <c r="AB51" s="170" t="s">
        <v>1443</v>
      </c>
      <c r="AC51" s="630" t="s">
        <v>1411</v>
      </c>
      <c r="AD51" s="166" t="s">
        <v>1412</v>
      </c>
      <c r="AE51" s="626" t="s">
        <v>586</v>
      </c>
      <c r="AF51" s="75"/>
      <c r="AG51" s="75"/>
      <c r="AI51" s="536"/>
      <c r="AJ51" s="536"/>
      <c r="AO51" s="536"/>
      <c r="AP51" s="536"/>
      <c r="AZ51" s="1182" t="s">
        <v>1393</v>
      </c>
    </row>
    <row customHeight="1" ht="27.787500000000005" hidden="1">
      <c r="E52" s="794">
        <v>28.5</v>
      </c>
      <c r="F52" s="920" cm="1" t="str">
        <f t="array" ref="F52:F52">F51</f>
        <v>0</v>
      </c>
      <c r="T52" s="816" cm="1" t="str">
        <f t="array" ref="T52:T52">T51</f>
        <v>false</v>
      </c>
      <c r="AB52" s="170" t="s">
        <v>1444</v>
      </c>
      <c r="AC52" s="630" t="s">
        <v>1415</v>
      </c>
      <c r="AD52" s="166" t="s">
        <v>1416</v>
      </c>
      <c r="AE52" s="626" t="s">
        <v>586</v>
      </c>
      <c r="AF52" s="75"/>
      <c r="AG52" s="75"/>
      <c r="AI52" s="536"/>
      <c r="AJ52" s="536"/>
      <c r="AO52" s="536"/>
      <c r="AP52" s="536"/>
      <c r="AZ52" s="1182" t="s">
        <v>1445</v>
      </c>
    </row>
    <row customHeight="1" ht="22.23" hidden="1">
      <c r="E53" s="794">
        <v>22.8</v>
      </c>
      <c r="F53" s="920" cm="1" t="str">
        <f t="array" ref="F53:F53">F52</f>
        <v>0</v>
      </c>
      <c r="T53" s="816" cm="1" t="str">
        <f t="array" ref="T53:T53">T52</f>
        <v>false</v>
      </c>
      <c r="AB53" s="170" t="s">
        <v>1446</v>
      </c>
      <c r="AC53" s="630" t="s">
        <v>1447</v>
      </c>
      <c r="AD53" s="166" t="s">
        <v>1420</v>
      </c>
      <c r="AE53" s="626" t="s">
        <v>889</v>
      </c>
      <c r="AF53" s="75"/>
      <c r="AG53" s="75"/>
      <c r="AI53" s="536"/>
      <c r="AJ53" s="536"/>
      <c r="AO53" s="536"/>
      <c r="AP53" s="536"/>
      <c r="AZ53" s="1182" t="s">
        <v>1448</v>
      </c>
    </row>
    <row customHeight="1" ht="16.0875" hidden="1">
      <c r="E54" s="794">
        <v>16.5</v>
      </c>
      <c r="F54" s="920" cm="1" t="str">
        <f t="array" ref="F54:F54">F53</f>
        <v>0</v>
      </c>
      <c r="G54" s="736" t="s">
        <v>971</v>
      </c>
      <c r="T54" s="816" cm="1" t="str">
        <f t="array" ref="T54:T54">T53</f>
        <v>false</v>
      </c>
      <c r="AB54" s="170" t="s">
        <v>1449</v>
      </c>
      <c r="AC54" s="578" t="s">
        <v>1450</v>
      </c>
      <c r="AD54" s="628"/>
      <c r="AE54" s="626" t="s">
        <v>1368</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1451</v>
      </c>
    </row>
    <row customHeight="1" ht="28.567500000000006" hidden="1">
      <c r="E55" s="794">
        <v>29.3</v>
      </c>
      <c r="F55" s="920" cm="1" t="str">
        <f t="array" ref="F55:F55">F54</f>
        <v>0</v>
      </c>
      <c r="T55" s="816" cm="1" t="str">
        <f t="array" ref="T55:T55">T54</f>
        <v>false</v>
      </c>
      <c r="AB55" s="170" t="s">
        <v>1452</v>
      </c>
      <c r="AC55" s="630" t="s">
        <v>1453</v>
      </c>
      <c r="AD55" s="166" t="s">
        <v>1442</v>
      </c>
      <c r="AE55" s="626" t="s">
        <v>1428</v>
      </c>
      <c r="AF55" s="75"/>
      <c r="AG55" s="75"/>
      <c r="AI55" s="536"/>
      <c r="AJ55" s="536"/>
      <c r="AO55" s="536"/>
      <c r="AP55" s="536"/>
      <c r="AZ55" s="1182" t="s">
        <v>978</v>
      </c>
    </row>
    <row customHeight="1" ht="30.712500000000002" hidden="1">
      <c r="E56" s="794">
        <v>31.5</v>
      </c>
      <c r="F56" s="920" cm="1" t="str">
        <f t="array" ref="F56:F56">F55</f>
        <v>0</v>
      </c>
      <c r="T56" s="816" cm="1" t="str">
        <f t="array" ref="T56:T56">T55</f>
        <v>false</v>
      </c>
      <c r="AB56" s="170" t="s">
        <v>1454</v>
      </c>
      <c r="AC56" s="630" t="s">
        <v>1411</v>
      </c>
      <c r="AD56" s="166" t="s">
        <v>1412</v>
      </c>
      <c r="AE56" s="626" t="s">
        <v>586</v>
      </c>
      <c r="AF56" s="75"/>
      <c r="AG56" s="75"/>
      <c r="AI56" s="536"/>
      <c r="AJ56" s="536"/>
      <c r="AO56" s="536"/>
      <c r="AP56" s="536"/>
      <c r="AZ56" s="1182" t="s">
        <v>1455</v>
      </c>
    </row>
    <row customHeight="1" ht="27.787500000000005" hidden="1">
      <c r="E57" s="794">
        <v>28.5</v>
      </c>
      <c r="F57" s="920" cm="1" t="str">
        <f t="array" ref="F57:F57">F56</f>
        <v>0</v>
      </c>
      <c r="T57" s="816" cm="1" t="str">
        <f t="array" ref="T57:T57">T56</f>
        <v>false</v>
      </c>
      <c r="AB57" s="170" t="s">
        <v>1456</v>
      </c>
      <c r="AC57" s="630" t="s">
        <v>1415</v>
      </c>
      <c r="AD57" s="166" t="s">
        <v>1416</v>
      </c>
      <c r="AE57" s="626" t="s">
        <v>586</v>
      </c>
      <c r="AF57" s="75"/>
      <c r="AG57" s="75"/>
      <c r="AI57" s="536"/>
      <c r="AJ57" s="536"/>
      <c r="AO57" s="536"/>
      <c r="AP57" s="536"/>
      <c r="AZ57" s="1182" t="s">
        <v>1457</v>
      </c>
    </row>
    <row customHeight="1" ht="22.23" hidden="1">
      <c r="E58" s="794">
        <v>22.8</v>
      </c>
      <c r="F58" s="920" cm="1" t="str">
        <f t="array" ref="F58:F58">F57</f>
        <v>0</v>
      </c>
      <c r="T58" s="816" cm="1" t="str">
        <f t="array" ref="T58:T58">T57</f>
        <v>false</v>
      </c>
      <c r="AB58" s="170" t="s">
        <v>1458</v>
      </c>
      <c r="AC58" s="630" t="s">
        <v>1459</v>
      </c>
      <c r="AD58" s="166" t="s">
        <v>1420</v>
      </c>
      <c r="AE58" s="626" t="s">
        <v>1435</v>
      </c>
      <c r="AF58" s="75"/>
      <c r="AG58" s="75"/>
      <c r="AI58" s="536"/>
      <c r="AJ58" s="536"/>
      <c r="AO58" s="536"/>
      <c r="AP58" s="536"/>
      <c r="AZ58" s="1182" t="s">
        <v>1460</v>
      </c>
    </row>
    <row customHeight="1" ht="37.3425" hidden="1">
      <c r="E59" s="794">
        <v>38.3</v>
      </c>
      <c r="F59" s="920" cm="1" t="str">
        <f t="array" ref="F59:F59">F58</f>
        <v>0</v>
      </c>
      <c r="G59" s="736" t="s">
        <v>1318</v>
      </c>
      <c r="T59" s="816" cm="1" t="str">
        <f t="array" ref="T59:T59">T58</f>
        <v>false</v>
      </c>
      <c r="AB59" s="170" t="s">
        <v>1461</v>
      </c>
      <c r="AC59" s="559" t="s">
        <v>1462</v>
      </c>
      <c r="AD59" s="628" t="s">
        <v>1463</v>
      </c>
      <c r="AE59" s="626" t="s">
        <v>799</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I59" s="536"/>
      <c r="AJ59" s="536"/>
      <c r="AO59" s="536"/>
      <c r="AP59" s="536"/>
      <c r="AZ59" s="1182" t="s">
        <v>1464</v>
      </c>
    </row>
    <row customHeight="1" ht="20.475" hidden="1">
      <c r="E60" s="794">
        <v>21</v>
      </c>
      <c r="F60" s="920" cm="1" t="str">
        <f t="array" ref="F60:F60">F59</f>
        <v>0</v>
      </c>
      <c r="G60" s="736" t="s">
        <v>1465</v>
      </c>
      <c r="T60" s="816" cm="1" t="str">
        <f t="array" ref="T60:T60">T59</f>
        <v>false</v>
      </c>
      <c r="AB60" s="170" t="s">
        <v>1466</v>
      </c>
      <c r="AC60" s="163" t="s">
        <v>1467</v>
      </c>
      <c r="AD60" s="626"/>
      <c r="AE60" s="626" t="s">
        <v>799</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I60" s="536"/>
      <c r="AJ60" s="536"/>
      <c r="AO60" s="536"/>
      <c r="AP60" s="536"/>
      <c r="AZ60" s="1182" t="s">
        <v>1468</v>
      </c>
    </row>
    <row customHeight="1" ht="20.475" hidden="1">
      <c r="E61" s="794">
        <v>21</v>
      </c>
      <c r="F61" s="920" cm="1" t="str">
        <f t="array" ref="F61:F61">F60</f>
        <v>0</v>
      </c>
      <c r="T61" s="816" cm="1" t="str">
        <f t="array" ref="T61:T61">T60</f>
        <v>false</v>
      </c>
      <c r="AB61" s="170" t="s">
        <v>1469</v>
      </c>
      <c r="AC61" s="1065" t="s">
        <v>1470</v>
      </c>
      <c r="AD61" s="626"/>
      <c r="AE61" s="626" t="s">
        <v>485</v>
      </c>
      <c r="AF61" s="124"/>
      <c r="AG61" s="124"/>
      <c r="AI61" s="536"/>
      <c r="AJ61" s="536"/>
      <c r="AO61" s="536"/>
      <c r="AP61" s="536"/>
      <c r="AZ61" s="1182" t="s">
        <v>1471</v>
      </c>
    </row>
    <row customHeight="1" ht="21.9375" hidden="1">
      <c r="E62" s="794">
        <v>22.5</v>
      </c>
      <c r="F62" s="920" cm="1" t="str">
        <f t="array" ref="F62:F62">F60</f>
        <v>0</v>
      </c>
      <c r="G62" s="736" t="s">
        <v>1472</v>
      </c>
      <c r="T62" s="816" cm="1" t="str">
        <f t="array" ref="T62:T62">T60</f>
        <v>false</v>
      </c>
      <c r="AB62" s="170" t="s">
        <v>1473</v>
      </c>
      <c r="AC62" s="163" t="s">
        <v>1474</v>
      </c>
      <c r="AD62" s="626"/>
      <c r="AE62" s="626" t="s">
        <v>799</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I62" s="536"/>
      <c r="AJ62" s="536"/>
      <c r="AO62" s="536"/>
      <c r="AP62" s="536"/>
      <c r="AZ62" s="1182" t="s">
        <v>1475</v>
      </c>
    </row>
    <row customHeight="1" ht="22.23" hidden="1">
      <c r="E63" s="794">
        <v>22.8</v>
      </c>
      <c r="F63" s="920" cm="1" t="str">
        <f t="array" ref="F63:F63">F62</f>
        <v>0</v>
      </c>
      <c r="G63" s="736" t="s">
        <v>626</v>
      </c>
      <c r="T63" s="816" cm="1" t="str">
        <f t="array" ref="T63:T63">T62</f>
        <v>false</v>
      </c>
      <c r="AB63" s="170" t="s">
        <v>1476</v>
      </c>
      <c r="AC63" s="163" t="s">
        <v>1477</v>
      </c>
      <c r="AD63" s="626"/>
      <c r="AE63" s="626" t="s">
        <v>799</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I63" s="536"/>
      <c r="AJ63" s="536"/>
      <c r="AO63" s="536"/>
      <c r="AP63" s="536"/>
      <c r="AZ63" s="1182" t="s">
        <v>1478</v>
      </c>
    </row>
    <row customHeight="1" ht="29.25" hidden="1">
      <c r="E64" s="794">
        <v>30</v>
      </c>
      <c r="F64" s="920" cm="1" t="str">
        <f t="array" ref="F64:F64">F63</f>
        <v>0</v>
      </c>
      <c r="T64" s="816" cm="1" t="str">
        <f t="array" ref="T64:T64">T63</f>
        <v>false</v>
      </c>
      <c r="AB64" s="170" t="s">
        <v>1479</v>
      </c>
      <c r="AC64" s="163" t="s">
        <v>1480</v>
      </c>
      <c r="AD64" s="629"/>
      <c r="AE64" s="626" t="s">
        <v>799</v>
      </c>
      <c r="AF64" s="75"/>
      <c r="AG64" s="75"/>
      <c r="AI64" s="536"/>
      <c r="AJ64" s="536"/>
      <c r="AO64" s="536"/>
      <c r="AP64" s="536"/>
      <c r="AZ64" s="1182" t="s">
        <v>1481</v>
      </c>
    </row>
    <row customHeight="1" ht="37.3425" hidden="1">
      <c r="E65" s="794">
        <v>38.3</v>
      </c>
      <c r="F65" s="920" cm="1" t="str">
        <f t="array" ref="F65:F65">F64</f>
        <v>0</v>
      </c>
      <c r="T65" s="816" cm="1" t="str">
        <f t="array" ref="T65:T65">T64</f>
        <v>false</v>
      </c>
      <c r="AB65" s="170" t="s">
        <v>1482</v>
      </c>
      <c r="AC65" s="163" t="s">
        <v>1483</v>
      </c>
      <c r="AD65" s="626"/>
      <c r="AE65" s="626" t="s">
        <v>799</v>
      </c>
      <c r="AF65" s="75"/>
      <c r="AG65" s="75"/>
      <c r="AI65" s="536"/>
      <c r="AJ65" s="536"/>
      <c r="AO65" s="536"/>
      <c r="AP65" s="536"/>
      <c r="AZ65" s="1182" t="s">
        <v>1484</v>
      </c>
    </row>
    <row customHeight="1" ht="73.125" hidden="1">
      <c r="E66" s="794">
        <v>75</v>
      </c>
      <c r="F66" s="920" cm="1" t="str">
        <f t="array" ref="F66:F66">F65</f>
        <v>0</v>
      </c>
      <c r="T66" s="816" cm="1" t="str">
        <f t="array" ref="T66:T66">T65</f>
        <v>false</v>
      </c>
      <c r="AB66" s="170" t="s">
        <v>1485</v>
      </c>
      <c r="AC66" s="163" t="s">
        <v>1486</v>
      </c>
      <c r="AD66" s="626"/>
      <c r="AE66" s="626" t="s">
        <v>799</v>
      </c>
      <c r="AF66" s="75"/>
      <c r="AG66" s="75"/>
      <c r="AI66" s="536"/>
      <c r="AJ66" s="536"/>
      <c r="AO66" s="536"/>
      <c r="AP66" s="536"/>
      <c r="AZ66" s="1182" t="s">
        <v>1487</v>
      </c>
    </row>
    <row customHeight="1" ht="72.44250000000001" hidden="1">
      <c r="E67" s="794">
        <v>74.3</v>
      </c>
      <c r="F67" s="920" cm="1" t="str">
        <f t="array" ref="F67:F67">F66</f>
        <v>0</v>
      </c>
      <c r="T67" s="816" cm="1" t="str">
        <f t="array" ref="T67:T67">T66</f>
        <v>false</v>
      </c>
      <c r="AB67" s="170" t="s">
        <v>1488</v>
      </c>
      <c r="AC67" s="163" t="s">
        <v>1489</v>
      </c>
      <c r="AD67" s="626"/>
      <c r="AE67" s="626" t="s">
        <v>1368</v>
      </c>
      <c r="AF67" s="75"/>
      <c r="AG67" s="75"/>
      <c r="AI67" s="536"/>
      <c r="AJ67" s="536"/>
      <c r="AO67" s="536"/>
      <c r="AP67" s="536"/>
      <c r="AZ67" s="1182" t="s">
        <v>1490</v>
      </c>
    </row>
    <row customHeight="1" ht="55.57500000000001" hidden="1">
      <c r="E68" s="794">
        <v>57</v>
      </c>
      <c r="F68" s="920" cm="1" t="str">
        <f t="array" ref="F68:F68">F67</f>
        <v>0</v>
      </c>
      <c r="T68" s="816" cm="1" t="str">
        <f t="array" ref="T68:T68">T67</f>
        <v>false</v>
      </c>
      <c r="AB68" s="170" t="s">
        <v>440</v>
      </c>
      <c r="AC68" s="624" t="s">
        <v>1491</v>
      </c>
      <c r="AD68" s="166" t="s">
        <v>1492</v>
      </c>
      <c r="AE68" s="626" t="s">
        <v>1368</v>
      </c>
      <c r="AF68" s="75"/>
      <c r="AG68" s="75"/>
      <c r="AI68" s="536"/>
      <c r="AJ68" s="536"/>
      <c r="AO68" s="536"/>
      <c r="AP68" s="536"/>
      <c r="AZ68" s="1182" t="s">
        <v>1493</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1364</v>
      </c>
      <c r="AC70" s="1531" t="s">
        <v>483</v>
      </c>
      <c r="AD70" s="322" t="s">
        <v>1113</v>
      </c>
      <c r="AE70" s="154">
        <f>god-2</f>
        <v>2024</v>
      </c>
      <c r="AF70" s="154">
        <f>god-1</f>
        <v>2025</v>
      </c>
      <c r="AG70" s="322" t="s">
        <v>1494</v>
      </c>
      <c r="AH70" s="302" cm="1" t="str">
        <f t="array" ref="AH70:AH70">god</f>
        <v>2026</v>
      </c>
      <c r="AI70" s="154">
        <f>god+1</f>
        <v>2027</v>
      </c>
      <c r="AJ70" s="154">
        <f>god+2</f>
        <v>2028</v>
      </c>
      <c r="AK70" s="154">
        <f>god+3</f>
        <v>2029</v>
      </c>
      <c r="AL70" s="154">
        <f>god+4</f>
        <v>2030</v>
      </c>
      <c r="AM70" s="322" t="s">
        <v>1494</v>
      </c>
      <c r="AN70" s="302" cm="1" t="str">
        <f t="array" ref="AN70:AN70">god</f>
        <v>2026</v>
      </c>
      <c r="AO70" s="154">
        <f>god+1</f>
        <v>2027</v>
      </c>
      <c r="AP70" s="154">
        <f>god+2</f>
        <v>2028</v>
      </c>
      <c r="AQ70" s="154">
        <f>god+3</f>
        <v>2029</v>
      </c>
      <c r="AR70" s="154">
        <f>god+4</f>
        <v>2030</v>
      </c>
      <c r="AU70" s="125" t="s">
        <v>1495</v>
      </c>
    </row>
    <row customHeight="1" ht="21.9375" hidden="1">
      <c r="E71" s="794">
        <v>22.5</v>
      </c>
      <c r="F71" s="920" cm="1" t="str">
        <f t="array" ref="F71:F71">F70</f>
        <v>0</v>
      </c>
      <c r="T71" s="816" cm="1" t="str">
        <f t="array" ref="T71:T71">T70</f>
        <v>false</v>
      </c>
      <c r="AB71" s="1530"/>
      <c r="AC71" s="1532"/>
      <c r="AD71" s="322"/>
      <c r="AE71" s="170" t="s">
        <v>1496</v>
      </c>
      <c r="AF71" s="170" t="s">
        <v>1496</v>
      </c>
      <c r="AG71" s="322"/>
      <c r="AH71" s="170" t="s">
        <v>1497</v>
      </c>
      <c r="AI71" s="170" t="s">
        <v>1497</v>
      </c>
      <c r="AJ71" s="170" t="s">
        <v>1497</v>
      </c>
      <c r="AK71" s="170" t="s">
        <v>1497</v>
      </c>
      <c r="AL71" s="170" t="s">
        <v>1497</v>
      </c>
      <c r="AM71" s="322"/>
      <c r="AN71" s="170" t="s">
        <v>1498</v>
      </c>
      <c r="AO71" s="170" t="s">
        <v>1498</v>
      </c>
      <c r="AP71" s="170" t="s">
        <v>1498</v>
      </c>
      <c r="AQ71" s="170" t="s">
        <v>1498</v>
      </c>
      <c r="AR71" s="170" t="s">
        <v>1498</v>
      </c>
      <c r="AU71" s="125"/>
    </row>
    <row customHeight="1" ht="15.405000000000001" hidden="1">
      <c r="E72" s="794">
        <v>15.8</v>
      </c>
      <c r="F72" s="920" cm="1" t="str">
        <f t="array" ref="F72:F72">F71</f>
        <v>0</v>
      </c>
      <c r="T72" s="816" cm="1" t="str">
        <f t="array" ref="T72:T72">T71</f>
        <v>false</v>
      </c>
      <c r="AB72" s="285" t="s">
        <v>608</v>
      </c>
      <c r="AC72" s="404" t="s">
        <v>1499</v>
      </c>
      <c r="AD72" s="626" t="s">
        <v>799</v>
      </c>
      <c r="AE72" s="818" t="s">
        <v>1500</v>
      </c>
      <c r="AF72" s="818" t="s">
        <v>1500</v>
      </c>
      <c r="AG72" s="419" cm="1" t="str">
        <f t="array" ref="AG72:AG72">AF29</f>
        <v>0</v>
      </c>
      <c r="AH72" s="1039"/>
      <c r="AI72" s="1993"/>
      <c r="AJ72" s="1993"/>
      <c r="AK72" s="126"/>
      <c r="AL72" s="126"/>
      <c r="AM72" s="419" cm="1" t="str">
        <f t="array" ref="AM72:AM72">AG29</f>
        <v>0</v>
      </c>
      <c r="AN72" s="1040"/>
      <c r="AO72" s="1994"/>
      <c r="AP72" s="1994"/>
      <c r="AQ72" s="127"/>
      <c r="AR72" s="127"/>
      <c r="AU72" s="128"/>
      <c r="AZ72" s="1182" t="s">
        <v>1501</v>
      </c>
    </row>
    <row customHeight="1" ht="27.105" hidden="1">
      <c r="E73" s="794">
        <v>27.8</v>
      </c>
      <c r="F73" s="920" cm="1" t="str">
        <f t="array" ref="F73:F73">F72</f>
        <v>0</v>
      </c>
      <c r="T73" s="816" cm="1" t="str">
        <f t="array" ref="T73:T73">T72</f>
        <v>false</v>
      </c>
      <c r="AB73" s="285" t="s">
        <v>618</v>
      </c>
      <c r="AC73" s="632" t="s">
        <v>1502</v>
      </c>
      <c r="AD73" s="626" t="s">
        <v>799</v>
      </c>
      <c r="AE73" s="126"/>
      <c r="AF73" s="126"/>
      <c r="AG73" s="419">
        <f>SUM(AH73:AL73)</f>
        <v>0</v>
      </c>
      <c r="AH73" s="1039"/>
      <c r="AI73" s="1993"/>
      <c r="AJ73" s="1993"/>
      <c r="AK73" s="126"/>
      <c r="AL73" s="126"/>
      <c r="AM73" s="419">
        <f>SUM(AN73:AR73)</f>
        <v>0</v>
      </c>
      <c r="AN73" s="1040"/>
      <c r="AO73" s="1994"/>
      <c r="AP73" s="1994"/>
      <c r="AQ73" s="127"/>
      <c r="AR73" s="127"/>
      <c r="AU73" s="128"/>
      <c r="AZ73" s="1182" t="s">
        <v>1503</v>
      </c>
    </row>
    <row customHeight="1" ht="15.405000000000001" hidden="1">
      <c r="E74" s="794">
        <v>15.8</v>
      </c>
      <c r="F74" s="920" cm="1" t="str">
        <f t="array" ref="F74:F74">F73</f>
        <v>0</v>
      </c>
      <c r="G74" s="736" t="s">
        <v>1504</v>
      </c>
      <c r="T74" s="816" cm="1" t="str">
        <f t="array" ref="T74:T74">T73</f>
        <v>false</v>
      </c>
      <c r="AB74" s="311" t="s">
        <v>623</v>
      </c>
      <c r="AC74" s="624" t="s">
        <v>1505</v>
      </c>
      <c r="AD74" s="626" t="s">
        <v>799</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1506</v>
      </c>
    </row>
    <row s="1922"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337</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42" customFormat="1" customHeight="1" ht="50.25">
      <c r="A76" s="1498"/>
      <c r="B76" s="925"/>
      <c r="C76" s="1498"/>
      <c r="D76" s="1498"/>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98"/>
      <c r="V76" s="1498"/>
      <c r="W76" s="1498"/>
      <c r="X76" s="1498"/>
      <c r="Y76" s="1498"/>
      <c r="Z76" s="1498"/>
      <c r="AA76" s="935"/>
      <c r="AB76" s="322" t="s">
        <v>337</v>
      </c>
      <c r="AC76" s="624" t="s">
        <v>63</v>
      </c>
      <c r="AD76" s="625" t="s">
        <v>1367</v>
      </c>
      <c r="AE76" s="626" t="s">
        <v>1368</v>
      </c>
      <c r="AF76" s="364">
        <f>AF77-AF115</f>
        <v>218523.85</v>
      </c>
      <c r="AG76" s="364">
        <f>AG77-AG115</f>
        <v>187742.32882432</v>
      </c>
      <c r="AH76" s="536"/>
      <c r="AI76" s="536"/>
      <c r="AJ76" s="536"/>
      <c r="AK76" s="536"/>
      <c r="AL76" s="536"/>
      <c r="AM76" s="536"/>
      <c r="AN76" s="536"/>
      <c r="AO76" s="536"/>
      <c r="AP76" s="536"/>
      <c r="AQ76" s="536"/>
      <c r="AR76" s="536"/>
      <c r="AS76" s="536"/>
      <c r="AT76" s="536"/>
      <c r="AU76" s="536"/>
      <c r="AV76" s="536"/>
      <c r="AW76" s="536"/>
      <c r="AX76" s="536"/>
      <c r="AY76" s="536"/>
      <c r="AZ76" s="1182" t="s">
        <v>1369</v>
      </c>
    </row>
    <row s="1642" customFormat="1" customHeight="1" ht="51">
      <c r="A77" s="1498"/>
      <c r="B77" s="925"/>
      <c r="C77" s="1498"/>
      <c r="D77" s="1498"/>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98"/>
      <c r="V77" s="1498"/>
      <c r="W77" s="1498"/>
      <c r="X77" s="1498"/>
      <c r="Y77" s="1498"/>
      <c r="Z77" s="1498"/>
      <c r="AA77" s="935"/>
      <c r="AB77" s="170" t="s">
        <v>436</v>
      </c>
      <c r="AC77" s="161" t="s">
        <v>1370</v>
      </c>
      <c r="AD77" s="625" t="s">
        <v>1507</v>
      </c>
      <c r="AE77" s="626" t="s">
        <v>1368</v>
      </c>
      <c r="AF77" s="364">
        <f>AF79+AF80+AF106+AF107+AF109+AF110+AF111+AF112-AF113+AF114</f>
        <v>218523.85</v>
      </c>
      <c r="AG77" s="1908">
        <f>AG79+AG80+AG106+AG107+AG109+AG110+AG111+AG112-AG113+AG114</f>
        <v>187742.32882432</v>
      </c>
      <c r="AH77" s="536"/>
      <c r="AI77" s="536"/>
      <c r="AJ77" s="536"/>
      <c r="AK77" s="536"/>
      <c r="AL77" s="536"/>
      <c r="AM77" s="536"/>
      <c r="AN77" s="536"/>
      <c r="AO77" s="536"/>
      <c r="AP77" s="536"/>
      <c r="AQ77" s="536"/>
      <c r="AR77" s="536"/>
      <c r="AS77" s="536"/>
      <c r="AT77" s="536"/>
      <c r="AU77" s="536"/>
      <c r="AV77" s="536"/>
      <c r="AW77" s="536"/>
      <c r="AX77" s="536"/>
      <c r="AY77" s="536"/>
      <c r="AZ77" s="1182" t="s">
        <v>1372</v>
      </c>
    </row>
    <row s="1642" customFormat="1" customHeight="1" ht="27">
      <c r="A78" s="1498"/>
      <c r="B78" s="925"/>
      <c r="C78" s="1498"/>
      <c r="D78" s="1498"/>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98"/>
      <c r="V78" s="1498"/>
      <c r="W78" s="1498"/>
      <c r="X78" s="1498"/>
      <c r="Y78" s="1498"/>
      <c r="Z78" s="1498"/>
      <c r="AA78" s="935"/>
      <c r="AB78" s="170"/>
      <c r="AC78" s="633" t="s">
        <v>1373</v>
      </c>
      <c r="AD78" s="627" t="s">
        <v>1508</v>
      </c>
      <c r="AE78" s="626" t="s">
        <v>1368</v>
      </c>
      <c r="AF78" s="1908"/>
      <c r="AG78" s="1908"/>
      <c r="AH78" s="536"/>
      <c r="AI78" s="536"/>
      <c r="AJ78" s="536"/>
      <c r="AK78" s="536"/>
      <c r="AL78" s="536"/>
      <c r="AM78" s="536"/>
      <c r="AN78" s="536"/>
      <c r="AO78" s="536"/>
      <c r="AP78" s="536"/>
      <c r="AQ78" s="536"/>
      <c r="AR78" s="536"/>
      <c r="AS78" s="536"/>
      <c r="AT78" s="536"/>
      <c r="AU78" s="536"/>
      <c r="AV78" s="536"/>
      <c r="AW78" s="536"/>
      <c r="AX78" s="536"/>
      <c r="AY78" s="536"/>
      <c r="AZ78" s="1182" t="s">
        <v>1375</v>
      </c>
    </row>
    <row s="1642" customFormat="1" customHeight="1" ht="29.25">
      <c r="A79" s="1498"/>
      <c r="B79" s="925"/>
      <c r="C79" s="1498"/>
      <c r="D79" s="1498"/>
      <c r="E79" s="794">
        <v>30</v>
      </c>
      <c r="F79" s="920" cm="1" t="str">
        <f t="array" ref="F79:F79">F78</f>
        <v>1</v>
      </c>
      <c r="G79" s="736" t="s">
        <v>1259</v>
      </c>
      <c r="H79" s="963"/>
      <c r="I79" s="963"/>
      <c r="J79" s="963"/>
      <c r="K79" s="963"/>
      <c r="L79" s="963"/>
      <c r="M79" s="963"/>
      <c r="N79" s="963"/>
      <c r="O79" s="963"/>
      <c r="P79" s="963"/>
      <c r="Q79" s="926"/>
      <c r="R79" s="926"/>
      <c r="S79" s="963"/>
      <c r="T79" s="816" cm="1" t="str">
        <f t="array" ref="T79:T79">T78</f>
        <v>true</v>
      </c>
      <c r="U79" s="1498"/>
      <c r="V79" s="1498"/>
      <c r="W79" s="1498"/>
      <c r="X79" s="1498"/>
      <c r="Y79" s="1498"/>
      <c r="Z79" s="1498"/>
      <c r="AA79" s="935"/>
      <c r="AB79" s="170" t="s">
        <v>1119</v>
      </c>
      <c r="AC79" s="559" t="s">
        <v>1376</v>
      </c>
      <c r="AD79" s="628" t="s">
        <v>1509</v>
      </c>
      <c r="AE79" s="625" t="s">
        <v>1368</v>
      </c>
      <c r="AF79" s="1908">
        <f>_xlfn.SUMIFS('Операционные (5.1)'!AF$26:AF$76,'Операционные (5.1)'!$F$26:$F$76,$F79,'Операционные (5.1)'!$G$26:$G$76,$G79)</f>
        <v>31818.23</v>
      </c>
      <c r="AG79" s="1908">
        <f>_xlfn.SUMIFS('Операционные (5.1)'!AG$26:AG$76,'Операционные (5.1)'!$F$26:$F$76,$F79,'Операционные (5.1)'!$G$26:$G$76,$G79)</f>
        <v>34176.33882432</v>
      </c>
      <c r="AH79" s="536"/>
      <c r="AI79" s="536"/>
      <c r="AJ79" s="536"/>
      <c r="AK79" s="536"/>
      <c r="AL79" s="536"/>
      <c r="AM79" s="536"/>
      <c r="AN79" s="536"/>
      <c r="AO79" s="536"/>
      <c r="AP79" s="536"/>
      <c r="AQ79" s="536"/>
      <c r="AR79" s="536"/>
      <c r="AS79" s="536"/>
      <c r="AT79" s="536"/>
      <c r="AU79" s="536"/>
      <c r="AV79" s="536"/>
      <c r="AW79" s="536"/>
      <c r="AX79" s="536"/>
      <c r="AY79" s="536"/>
      <c r="AZ79" s="1182" t="s">
        <v>1378</v>
      </c>
    </row>
    <row s="1642" customFormat="1" customHeight="1" ht="39.75">
      <c r="A80" s="1498"/>
      <c r="B80" s="925"/>
      <c r="C80" s="1498"/>
      <c r="D80" s="1498"/>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98"/>
      <c r="V80" s="1498"/>
      <c r="W80" s="1498"/>
      <c r="X80" s="1498"/>
      <c r="Y80" s="1498"/>
      <c r="Z80" s="1498"/>
      <c r="AA80" s="935"/>
      <c r="AB80" s="170" t="s">
        <v>1123</v>
      </c>
      <c r="AC80" s="559" t="s">
        <v>1379</v>
      </c>
      <c r="AD80" s="628" t="s">
        <v>1380</v>
      </c>
      <c r="AE80" s="625" t="s">
        <v>1368</v>
      </c>
      <c r="AF80" s="364">
        <f>AF81+AF85</f>
        <v>140942.32</v>
      </c>
      <c r="AG80" s="364">
        <f>AG81+AG85</f>
        <v>140942.32</v>
      </c>
      <c r="AH80" s="536"/>
      <c r="AI80" s="536"/>
      <c r="AJ80" s="536"/>
      <c r="AK80" s="536"/>
      <c r="AL80" s="536"/>
      <c r="AM80" s="536"/>
      <c r="AN80" s="536"/>
      <c r="AO80" s="536"/>
      <c r="AP80" s="536"/>
      <c r="AQ80" s="536"/>
      <c r="AR80" s="536"/>
      <c r="AS80" s="536"/>
      <c r="AT80" s="536"/>
      <c r="AU80" s="536"/>
      <c r="AV80" s="536"/>
      <c r="AW80" s="536"/>
      <c r="AX80" s="536"/>
      <c r="AY80" s="536"/>
      <c r="AZ80" s="1182" t="s">
        <v>1381</v>
      </c>
    </row>
    <row s="1642" customFormat="1" customHeight="1" ht="55.5">
      <c r="A81" s="1498"/>
      <c r="B81" s="925"/>
      <c r="C81" s="1498"/>
      <c r="D81" s="1498"/>
      <c r="E81" s="794">
        <v>57</v>
      </c>
      <c r="F81" s="920" cm="1" t="str">
        <f t="array" ref="F81:F81">F80</f>
        <v>1</v>
      </c>
      <c r="G81" s="736" t="s">
        <v>1353</v>
      </c>
      <c r="H81" s="963"/>
      <c r="I81" s="963"/>
      <c r="J81" s="963"/>
      <c r="K81" s="963"/>
      <c r="L81" s="963"/>
      <c r="M81" s="963"/>
      <c r="N81" s="963"/>
      <c r="O81" s="963"/>
      <c r="P81" s="963"/>
      <c r="Q81" s="926"/>
      <c r="R81" s="926"/>
      <c r="S81" s="963"/>
      <c r="T81" s="816" cm="1" t="str">
        <f t="array" ref="T81:T81">T80</f>
        <v>true</v>
      </c>
      <c r="U81" s="1498"/>
      <c r="V81" s="1498"/>
      <c r="W81" s="1498"/>
      <c r="X81" s="1498"/>
      <c r="Y81" s="1498"/>
      <c r="Z81" s="1498"/>
      <c r="AA81" s="935"/>
      <c r="AB81" s="170" t="s">
        <v>1382</v>
      </c>
      <c r="AC81" s="578" t="s">
        <v>1383</v>
      </c>
      <c r="AD81" s="166" t="s">
        <v>1384</v>
      </c>
      <c r="AE81" s="626" t="s">
        <v>1368</v>
      </c>
      <c r="AF81" s="1908">
        <f>_xlfn.SUMIFS('Ресурсы (5.4)'!AF$26:AF$47,'Ресурсы (5.4)'!$F$26:$F$47,$F81,'Ресурсы (5.4)'!$G$26:$G$47,$G81)</f>
        <v>0</v>
      </c>
      <c r="AG81" s="1908">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1385</v>
      </c>
    </row>
    <row s="1642" customFormat="1" customHeight="1" ht="24.75">
      <c r="A82" s="1498"/>
      <c r="B82" s="925"/>
      <c r="C82" s="1498"/>
      <c r="D82" s="1498"/>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98"/>
      <c r="V82" s="1498"/>
      <c r="W82" s="1498"/>
      <c r="X82" s="1498"/>
      <c r="Y82" s="1498"/>
      <c r="Z82" s="1498"/>
      <c r="AA82" s="935"/>
      <c r="AB82" s="170" t="s">
        <v>1386</v>
      </c>
      <c r="AC82" s="630" t="s">
        <v>1387</v>
      </c>
      <c r="AD82" s="166" t="s">
        <v>1388</v>
      </c>
      <c r="AE82" s="626" t="s">
        <v>767</v>
      </c>
      <c r="AF82" s="1908"/>
      <c r="AG82" s="1908"/>
      <c r="AH82" s="536"/>
      <c r="AI82" s="536"/>
      <c r="AJ82" s="536"/>
      <c r="AK82" s="536"/>
      <c r="AL82" s="536"/>
      <c r="AM82" s="536"/>
      <c r="AN82" s="536"/>
      <c r="AO82" s="536"/>
      <c r="AP82" s="536"/>
      <c r="AQ82" s="536"/>
      <c r="AR82" s="536"/>
      <c r="AS82" s="536"/>
      <c r="AT82" s="536"/>
      <c r="AU82" s="536"/>
      <c r="AV82" s="536"/>
      <c r="AW82" s="536"/>
      <c r="AX82" s="536"/>
      <c r="AY82" s="536"/>
      <c r="AZ82" s="1182" t="s">
        <v>1389</v>
      </c>
    </row>
    <row s="1642" customFormat="1" customHeight="1" ht="38.25">
      <c r="A83" s="1498"/>
      <c r="B83" s="925"/>
      <c r="C83" s="1498"/>
      <c r="D83" s="1498"/>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98"/>
      <c r="V83" s="1498"/>
      <c r="W83" s="1498"/>
      <c r="X83" s="1498"/>
      <c r="Y83" s="1498"/>
      <c r="Z83" s="1498"/>
      <c r="AA83" s="935"/>
      <c r="AB83" s="170" t="s">
        <v>1390</v>
      </c>
      <c r="AC83" s="630" t="s">
        <v>1391</v>
      </c>
      <c r="AD83" s="166" t="s">
        <v>1392</v>
      </c>
      <c r="AE83" s="626" t="s">
        <v>586</v>
      </c>
      <c r="AF83" s="1908"/>
      <c r="AG83" s="1908"/>
      <c r="AH83" s="536"/>
      <c r="AI83" s="536"/>
      <c r="AJ83" s="536"/>
      <c r="AK83" s="536"/>
      <c r="AL83" s="536"/>
      <c r="AM83" s="536"/>
      <c r="AN83" s="536"/>
      <c r="AO83" s="536"/>
      <c r="AP83" s="536"/>
      <c r="AQ83" s="536"/>
      <c r="AR83" s="536"/>
      <c r="AS83" s="536"/>
      <c r="AT83" s="536"/>
      <c r="AU83" s="536"/>
      <c r="AV83" s="536"/>
      <c r="AW83" s="536"/>
      <c r="AX83" s="536"/>
      <c r="AY83" s="536"/>
      <c r="AZ83" s="1182" t="s">
        <v>1393</v>
      </c>
    </row>
    <row s="1642" customFormat="1" customHeight="1" ht="23.25">
      <c r="A84" s="1498"/>
      <c r="B84" s="925"/>
      <c r="C84" s="1498"/>
      <c r="D84" s="1498"/>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98"/>
      <c r="V84" s="1498"/>
      <c r="W84" s="1498"/>
      <c r="X84" s="1498"/>
      <c r="Y84" s="1498"/>
      <c r="Z84" s="1498"/>
      <c r="AA84" s="935"/>
      <c r="AB84" s="170" t="s">
        <v>1394</v>
      </c>
      <c r="AC84" s="630" t="s">
        <v>1395</v>
      </c>
      <c r="AD84" s="166" t="s">
        <v>1510</v>
      </c>
      <c r="AE84" s="626" t="s">
        <v>1397</v>
      </c>
      <c r="AF84" s="1908"/>
      <c r="AG84" s="1908"/>
      <c r="AH84" s="536"/>
      <c r="AI84" s="536"/>
      <c r="AJ84" s="536"/>
      <c r="AK84" s="536"/>
      <c r="AL84" s="536"/>
      <c r="AM84" s="536"/>
      <c r="AN84" s="536"/>
      <c r="AO84" s="536"/>
      <c r="AP84" s="536"/>
      <c r="AQ84" s="536"/>
      <c r="AR84" s="536"/>
      <c r="AS84" s="536"/>
      <c r="AT84" s="536"/>
      <c r="AU84" s="536"/>
      <c r="AV84" s="536"/>
      <c r="AW84" s="536"/>
      <c r="AX84" s="536"/>
      <c r="AY84" s="536"/>
      <c r="AZ84" s="1182" t="s">
        <v>1398</v>
      </c>
    </row>
    <row s="1642" customFormat="1" customHeight="1" ht="56.25">
      <c r="A85" s="1498"/>
      <c r="B85" s="925"/>
      <c r="C85" s="1498"/>
      <c r="D85" s="1498"/>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98"/>
      <c r="V85" s="1498"/>
      <c r="W85" s="1498"/>
      <c r="X85" s="1498"/>
      <c r="Y85" s="1498"/>
      <c r="Z85" s="1498"/>
      <c r="AA85" s="935"/>
      <c r="AB85" s="170" t="s">
        <v>1399</v>
      </c>
      <c r="AC85" s="559" t="s">
        <v>1400</v>
      </c>
      <c r="AD85" s="166" t="s">
        <v>1401</v>
      </c>
      <c r="AE85" s="626" t="s">
        <v>1368</v>
      </c>
      <c r="AF85" s="364">
        <f>AF86+AF91+AF96+AF101</f>
        <v>140942.32</v>
      </c>
      <c r="AG85" s="364">
        <f>AG86+AG91+AG96+AG101</f>
        <v>140942.32</v>
      </c>
      <c r="AH85" s="536"/>
      <c r="AI85" s="536"/>
      <c r="AJ85" s="536"/>
      <c r="AK85" s="536"/>
      <c r="AL85" s="536"/>
      <c r="AM85" s="536"/>
      <c r="AN85" s="536"/>
      <c r="AO85" s="536"/>
      <c r="AP85" s="536"/>
      <c r="AQ85" s="536"/>
      <c r="AR85" s="536"/>
      <c r="AS85" s="536"/>
      <c r="AT85" s="536"/>
      <c r="AU85" s="536"/>
      <c r="AV85" s="536"/>
      <c r="AW85" s="536"/>
      <c r="AX85" s="536"/>
      <c r="AY85" s="536"/>
      <c r="AZ85" s="1182" t="s">
        <v>1402</v>
      </c>
    </row>
    <row s="1642" customFormat="1" customHeight="1" ht="19.5">
      <c r="A86" s="1498"/>
      <c r="B86" s="925"/>
      <c r="C86" s="1498"/>
      <c r="D86" s="1498"/>
      <c r="E86" s="794">
        <v>20.3</v>
      </c>
      <c r="F86" s="920" cm="1" t="str">
        <f t="array" ref="F86:F86">F85</f>
        <v>1</v>
      </c>
      <c r="G86" s="736" t="s">
        <v>893</v>
      </c>
      <c r="H86" s="963"/>
      <c r="I86" s="963"/>
      <c r="J86" s="963"/>
      <c r="K86" s="963"/>
      <c r="L86" s="963"/>
      <c r="M86" s="963"/>
      <c r="N86" s="963"/>
      <c r="O86" s="963"/>
      <c r="P86" s="963"/>
      <c r="Q86" s="926"/>
      <c r="R86" s="926"/>
      <c r="S86" s="963"/>
      <c r="T86" s="816" cm="1" t="str">
        <f t="array" ref="T86:T86">T85</f>
        <v>true</v>
      </c>
      <c r="U86" s="1498"/>
      <c r="V86" s="1498"/>
      <c r="W86" s="1498"/>
      <c r="X86" s="1498"/>
      <c r="Y86" s="1498"/>
      <c r="Z86" s="1498"/>
      <c r="AA86" s="935"/>
      <c r="AB86" s="170" t="s">
        <v>1403</v>
      </c>
      <c r="AC86" s="578" t="s">
        <v>1404</v>
      </c>
      <c r="AD86" s="628"/>
      <c r="AE86" s="626" t="s">
        <v>1368</v>
      </c>
      <c r="AF86" s="1908">
        <f>_xlfn.SUMIFS('Ресурсы (5.4)'!AF$26:AF$47,'Ресурсы (5.4)'!$F$26:$F$47,$F86,'Ресурсы (5.4)'!$G$26:$G$47,$G86)</f>
        <v>0</v>
      </c>
      <c r="AG86" s="1908">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1405</v>
      </c>
    </row>
    <row s="1642" customFormat="1" customHeight="1" ht="27">
      <c r="A87" s="1498"/>
      <c r="B87" s="925"/>
      <c r="C87" s="1498"/>
      <c r="D87" s="1498"/>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98"/>
      <c r="V87" s="1498"/>
      <c r="W87" s="1498"/>
      <c r="X87" s="1498"/>
      <c r="Y87" s="1498"/>
      <c r="Z87" s="1498"/>
      <c r="AA87" s="935"/>
      <c r="AB87" s="170" t="s">
        <v>1406</v>
      </c>
      <c r="AC87" s="630" t="s">
        <v>1407</v>
      </c>
      <c r="AD87" s="166" t="s">
        <v>1511</v>
      </c>
      <c r="AE87" s="154" t="s">
        <v>1409</v>
      </c>
      <c r="AF87" s="1908"/>
      <c r="AG87" s="1908"/>
      <c r="AH87" s="536"/>
      <c r="AI87" s="536"/>
      <c r="AJ87" s="536"/>
      <c r="AK87" s="536"/>
      <c r="AL87" s="536"/>
      <c r="AM87" s="536"/>
      <c r="AN87" s="536"/>
      <c r="AO87" s="536"/>
      <c r="AP87" s="536"/>
      <c r="AQ87" s="536"/>
      <c r="AR87" s="536"/>
      <c r="AS87" s="536"/>
      <c r="AT87" s="536"/>
      <c r="AU87" s="536"/>
      <c r="AV87" s="536"/>
      <c r="AW87" s="536"/>
      <c r="AX87" s="536"/>
      <c r="AY87" s="536"/>
      <c r="AZ87" s="1182" t="s">
        <v>914</v>
      </c>
    </row>
    <row s="1642" customFormat="1" customHeight="1" ht="26.25">
      <c r="A88" s="1498"/>
      <c r="B88" s="925"/>
      <c r="C88" s="1498"/>
      <c r="D88" s="1498"/>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98"/>
      <c r="V88" s="1498"/>
      <c r="W88" s="1498"/>
      <c r="X88" s="1498"/>
      <c r="Y88" s="1498"/>
      <c r="Z88" s="1498"/>
      <c r="AA88" s="935"/>
      <c r="AB88" s="170" t="s">
        <v>1410</v>
      </c>
      <c r="AC88" s="630" t="s">
        <v>1411</v>
      </c>
      <c r="AD88" s="166" t="s">
        <v>1512</v>
      </c>
      <c r="AE88" s="626" t="s">
        <v>586</v>
      </c>
      <c r="AF88" s="1908"/>
      <c r="AG88" s="1908"/>
      <c r="AH88" s="536"/>
      <c r="AI88" s="536"/>
      <c r="AJ88" s="536"/>
      <c r="AK88" s="536"/>
      <c r="AL88" s="536"/>
      <c r="AM88" s="536"/>
      <c r="AN88" s="536"/>
      <c r="AO88" s="536"/>
      <c r="AP88" s="536"/>
      <c r="AQ88" s="536"/>
      <c r="AR88" s="536"/>
      <c r="AS88" s="536"/>
      <c r="AT88" s="536"/>
      <c r="AU88" s="536"/>
      <c r="AV88" s="536"/>
      <c r="AW88" s="536"/>
      <c r="AX88" s="536"/>
      <c r="AY88" s="536"/>
      <c r="AZ88" s="1182" t="s">
        <v>1413</v>
      </c>
    </row>
    <row s="1642" customFormat="1" customHeight="1" ht="28.5">
      <c r="A89" s="1498"/>
      <c r="B89" s="925"/>
      <c r="C89" s="1498"/>
      <c r="D89" s="1498"/>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98"/>
      <c r="V89" s="1498"/>
      <c r="W89" s="1498"/>
      <c r="X89" s="1498"/>
      <c r="Y89" s="1498"/>
      <c r="Z89" s="1498"/>
      <c r="AA89" s="935"/>
      <c r="AB89" s="170" t="s">
        <v>1414</v>
      </c>
      <c r="AC89" s="630" t="s">
        <v>1415</v>
      </c>
      <c r="AD89" s="166" t="s">
        <v>1513</v>
      </c>
      <c r="AE89" s="626" t="s">
        <v>586</v>
      </c>
      <c r="AF89" s="1908"/>
      <c r="AG89" s="1908"/>
      <c r="AH89" s="536"/>
      <c r="AI89" s="536"/>
      <c r="AJ89" s="536"/>
      <c r="AK89" s="536"/>
      <c r="AL89" s="536"/>
      <c r="AM89" s="536"/>
      <c r="AN89" s="536"/>
      <c r="AO89" s="536"/>
      <c r="AP89" s="536"/>
      <c r="AQ89" s="536"/>
      <c r="AR89" s="536"/>
      <c r="AS89" s="536"/>
      <c r="AT89" s="536"/>
      <c r="AU89" s="536"/>
      <c r="AV89" s="536"/>
      <c r="AW89" s="536"/>
      <c r="AX89" s="536"/>
      <c r="AY89" s="536"/>
      <c r="AZ89" s="1182" t="s">
        <v>1417</v>
      </c>
    </row>
    <row s="1642" customFormat="1" customHeight="1" ht="33">
      <c r="A90" s="1498"/>
      <c r="B90" s="925"/>
      <c r="C90" s="1498"/>
      <c r="D90" s="1498"/>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98"/>
      <c r="V90" s="1498"/>
      <c r="W90" s="1498"/>
      <c r="X90" s="1498"/>
      <c r="Y90" s="1498"/>
      <c r="Z90" s="1498"/>
      <c r="AA90" s="935"/>
      <c r="AB90" s="170" t="s">
        <v>1418</v>
      </c>
      <c r="AC90" s="630" t="s">
        <v>1419</v>
      </c>
      <c r="AD90" s="166" t="s">
        <v>1514</v>
      </c>
      <c r="AE90" s="626" t="s">
        <v>903</v>
      </c>
      <c r="AF90" s="1908"/>
      <c r="AG90" s="1908"/>
      <c r="AH90" s="536"/>
      <c r="AI90" s="536"/>
      <c r="AJ90" s="536"/>
      <c r="AK90" s="536"/>
      <c r="AL90" s="536"/>
      <c r="AM90" s="536"/>
      <c r="AN90" s="536"/>
      <c r="AO90" s="536"/>
      <c r="AP90" s="536"/>
      <c r="AQ90" s="536"/>
      <c r="AR90" s="536"/>
      <c r="AS90" s="536"/>
      <c r="AT90" s="536"/>
      <c r="AU90" s="536"/>
      <c r="AV90" s="536"/>
      <c r="AW90" s="536"/>
      <c r="AX90" s="536"/>
      <c r="AY90" s="536"/>
      <c r="AZ90" s="1182" t="s">
        <v>1421</v>
      </c>
    </row>
    <row s="1642" customFormat="1" customHeight="1" ht="16.5">
      <c r="A91" s="1498"/>
      <c r="B91" s="925"/>
      <c r="C91" s="1498"/>
      <c r="D91" s="1498"/>
      <c r="E91" s="794">
        <v>17.3</v>
      </c>
      <c r="F91" s="920" cm="1" t="str">
        <f t="array" ref="F91:F91">F90</f>
        <v>1</v>
      </c>
      <c r="G91" s="736" t="s">
        <v>960</v>
      </c>
      <c r="H91" s="963"/>
      <c r="I91" s="963"/>
      <c r="J91" s="963"/>
      <c r="K91" s="963"/>
      <c r="L91" s="963"/>
      <c r="M91" s="963"/>
      <c r="N91" s="963"/>
      <c r="O91" s="963"/>
      <c r="P91" s="963"/>
      <c r="Q91" s="926"/>
      <c r="R91" s="926"/>
      <c r="S91" s="963"/>
      <c r="T91" s="816" cm="1" t="str">
        <f t="array" ref="T91:T91">T90</f>
        <v>true</v>
      </c>
      <c r="U91" s="1498"/>
      <c r="V91" s="1498"/>
      <c r="W91" s="1498"/>
      <c r="X91" s="1498"/>
      <c r="Y91" s="1498"/>
      <c r="Z91" s="1498"/>
      <c r="AA91" s="935"/>
      <c r="AB91" s="170" t="s">
        <v>1422</v>
      </c>
      <c r="AC91" s="578" t="s">
        <v>1423</v>
      </c>
      <c r="AD91" s="628"/>
      <c r="AE91" s="626" t="s">
        <v>1368</v>
      </c>
      <c r="AF91" s="1908">
        <f>_xlfn.SUMIFS('Ресурсы (5.4)'!AF$26:AF$47,'Ресурсы (5.4)'!$F$26:$F$47,$F91,'Ресурсы (5.4)'!$G$26:$G$47,$G91)</f>
        <v>0</v>
      </c>
      <c r="AG91" s="1908">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1424</v>
      </c>
    </row>
    <row s="1642" customFormat="1" customHeight="1" ht="30">
      <c r="A92" s="1498"/>
      <c r="B92" s="925"/>
      <c r="C92" s="1498"/>
      <c r="D92" s="1498"/>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98"/>
      <c r="V92" s="1498"/>
      <c r="W92" s="1498"/>
      <c r="X92" s="1498"/>
      <c r="Y92" s="1498"/>
      <c r="Z92" s="1498"/>
      <c r="AA92" s="935"/>
      <c r="AB92" s="170" t="s">
        <v>1425</v>
      </c>
      <c r="AC92" s="630" t="s">
        <v>1426</v>
      </c>
      <c r="AD92" s="166" t="s">
        <v>1515</v>
      </c>
      <c r="AE92" s="626" t="s">
        <v>1428</v>
      </c>
      <c r="AF92" s="1908"/>
      <c r="AG92" s="1908"/>
      <c r="AH92" s="536"/>
      <c r="AI92" s="536"/>
      <c r="AJ92" s="536"/>
      <c r="AK92" s="536"/>
      <c r="AL92" s="536"/>
      <c r="AM92" s="536"/>
      <c r="AN92" s="536"/>
      <c r="AO92" s="536"/>
      <c r="AP92" s="536"/>
      <c r="AQ92" s="536"/>
      <c r="AR92" s="536"/>
      <c r="AS92" s="536"/>
      <c r="AT92" s="536"/>
      <c r="AU92" s="536"/>
      <c r="AV92" s="536"/>
      <c r="AW92" s="536"/>
      <c r="AX92" s="536"/>
      <c r="AY92" s="536"/>
      <c r="AZ92" s="1182" t="s">
        <v>969</v>
      </c>
    </row>
    <row s="1642" customFormat="1" customHeight="1" ht="30">
      <c r="A93" s="1498"/>
      <c r="B93" s="925"/>
      <c r="C93" s="1498"/>
      <c r="D93" s="1498"/>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98"/>
      <c r="V93" s="1498"/>
      <c r="W93" s="1498"/>
      <c r="X93" s="1498"/>
      <c r="Y93" s="1498"/>
      <c r="Z93" s="1498"/>
      <c r="AA93" s="935"/>
      <c r="AB93" s="170" t="s">
        <v>1429</v>
      </c>
      <c r="AC93" s="630" t="s">
        <v>1411</v>
      </c>
      <c r="AD93" s="166" t="s">
        <v>1512</v>
      </c>
      <c r="AE93" s="626" t="s">
        <v>586</v>
      </c>
      <c r="AF93" s="1908"/>
      <c r="AG93" s="1908"/>
      <c r="AH93" s="536"/>
      <c r="AI93" s="536"/>
      <c r="AJ93" s="536"/>
      <c r="AK93" s="536"/>
      <c r="AL93" s="536"/>
      <c r="AM93" s="536"/>
      <c r="AN93" s="536"/>
      <c r="AO93" s="536"/>
      <c r="AP93" s="536"/>
      <c r="AQ93" s="536"/>
      <c r="AR93" s="536"/>
      <c r="AS93" s="536"/>
      <c r="AT93" s="536"/>
      <c r="AU93" s="536"/>
      <c r="AV93" s="536"/>
      <c r="AW93" s="536"/>
      <c r="AX93" s="536"/>
      <c r="AY93" s="536"/>
      <c r="AZ93" s="1182" t="s">
        <v>1430</v>
      </c>
    </row>
    <row s="1642" customFormat="1" customHeight="1" ht="29.25">
      <c r="A94" s="1498"/>
      <c r="B94" s="925"/>
      <c r="C94" s="1498"/>
      <c r="D94" s="1498"/>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98"/>
      <c r="V94" s="1498"/>
      <c r="W94" s="1498"/>
      <c r="X94" s="1498"/>
      <c r="Y94" s="1498"/>
      <c r="Z94" s="1498"/>
      <c r="AA94" s="935"/>
      <c r="AB94" s="170" t="s">
        <v>1431</v>
      </c>
      <c r="AC94" s="630" t="s">
        <v>1415</v>
      </c>
      <c r="AD94" s="166" t="s">
        <v>1513</v>
      </c>
      <c r="AE94" s="626" t="s">
        <v>586</v>
      </c>
      <c r="AF94" s="1908"/>
      <c r="AG94" s="1908"/>
      <c r="AH94" s="536"/>
      <c r="AI94" s="536"/>
      <c r="AJ94" s="536"/>
      <c r="AK94" s="536"/>
      <c r="AL94" s="536"/>
      <c r="AM94" s="536"/>
      <c r="AN94" s="536"/>
      <c r="AO94" s="536"/>
      <c r="AP94" s="536"/>
      <c r="AQ94" s="536"/>
      <c r="AR94" s="536"/>
      <c r="AS94" s="536"/>
      <c r="AT94" s="536"/>
      <c r="AU94" s="536"/>
      <c r="AV94" s="536"/>
      <c r="AW94" s="536"/>
      <c r="AX94" s="536"/>
      <c r="AY94" s="536"/>
      <c r="AZ94" s="1182" t="s">
        <v>1432</v>
      </c>
    </row>
    <row s="1642" customFormat="1" customHeight="1" ht="21">
      <c r="A95" s="1498"/>
      <c r="B95" s="925"/>
      <c r="C95" s="1498"/>
      <c r="D95" s="1498"/>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98"/>
      <c r="V95" s="1498"/>
      <c r="W95" s="1498"/>
      <c r="X95" s="1498"/>
      <c r="Y95" s="1498"/>
      <c r="Z95" s="1498"/>
      <c r="AA95" s="935"/>
      <c r="AB95" s="170" t="s">
        <v>1433</v>
      </c>
      <c r="AC95" s="630" t="s">
        <v>1434</v>
      </c>
      <c r="AD95" s="166" t="s">
        <v>1514</v>
      </c>
      <c r="AE95" s="626" t="s">
        <v>1435</v>
      </c>
      <c r="AF95" s="1908"/>
      <c r="AG95" s="1908"/>
      <c r="AH95" s="536"/>
      <c r="AI95" s="536"/>
      <c r="AJ95" s="536"/>
      <c r="AK95" s="536"/>
      <c r="AL95" s="536"/>
      <c r="AM95" s="536"/>
      <c r="AN95" s="536"/>
      <c r="AO95" s="536"/>
      <c r="AP95" s="536"/>
      <c r="AQ95" s="536"/>
      <c r="AR95" s="536"/>
      <c r="AS95" s="536"/>
      <c r="AT95" s="536"/>
      <c r="AU95" s="536"/>
      <c r="AV95" s="536"/>
      <c r="AW95" s="536"/>
      <c r="AX95" s="536"/>
      <c r="AY95" s="536"/>
      <c r="AZ95" s="1182" t="s">
        <v>1436</v>
      </c>
    </row>
    <row s="1642" customFormat="1" customHeight="1" ht="15.75">
      <c r="A96" s="1498"/>
      <c r="B96" s="925"/>
      <c r="C96" s="1498"/>
      <c r="D96" s="1498"/>
      <c r="E96" s="794">
        <v>16.5</v>
      </c>
      <c r="F96" s="920" cm="1" t="str">
        <f t="array" ref="F96:F96">F95</f>
        <v>1</v>
      </c>
      <c r="G96" s="736" t="s">
        <v>928</v>
      </c>
      <c r="H96" s="963"/>
      <c r="I96" s="963"/>
      <c r="J96" s="963"/>
      <c r="K96" s="963"/>
      <c r="L96" s="963"/>
      <c r="M96" s="963"/>
      <c r="N96" s="963"/>
      <c r="O96" s="963"/>
      <c r="P96" s="963"/>
      <c r="Q96" s="926"/>
      <c r="R96" s="926"/>
      <c r="S96" s="963"/>
      <c r="T96" s="816" cm="1" t="str">
        <f t="array" ref="T96:T96">T95</f>
        <v>true</v>
      </c>
      <c r="U96" s="1498"/>
      <c r="V96" s="1498"/>
      <c r="W96" s="1498"/>
      <c r="X96" s="1498"/>
      <c r="Y96" s="1498"/>
      <c r="Z96" s="1498"/>
      <c r="AA96" s="935"/>
      <c r="AB96" s="170" t="s">
        <v>1437</v>
      </c>
      <c r="AC96" s="578" t="s">
        <v>1438</v>
      </c>
      <c r="AD96" s="628"/>
      <c r="AE96" s="626" t="s">
        <v>1368</v>
      </c>
      <c r="AF96" s="1908">
        <f>_xlfn.SUMIFS('Ресурсы (5.4)'!AF$26:AF$47,'Ресурсы (5.4)'!$F$26:$F$47,$F96,'Ресурсы (5.4)'!$G$26:$G$47,$G96)</f>
        <v>140942.32</v>
      </c>
      <c r="AG96" s="1908">
        <f>_xlfn.SUMIFS('Ресурсы (5.4)'!AG$26:AG$47,'Ресурсы (5.4)'!$F$26:$F$47,$F96,'Ресурсы (5.4)'!$G$26:$G$47,$G96)</f>
        <v>140942.32</v>
      </c>
      <c r="AH96" s="536"/>
      <c r="AI96" s="536"/>
      <c r="AJ96" s="536"/>
      <c r="AK96" s="536"/>
      <c r="AL96" s="536"/>
      <c r="AM96" s="536"/>
      <c r="AN96" s="536"/>
      <c r="AO96" s="536"/>
      <c r="AP96" s="536"/>
      <c r="AQ96" s="536"/>
      <c r="AR96" s="536"/>
      <c r="AS96" s="536"/>
      <c r="AT96" s="536"/>
      <c r="AU96" s="536"/>
      <c r="AV96" s="536"/>
      <c r="AW96" s="536"/>
      <c r="AX96" s="536"/>
      <c r="AY96" s="536"/>
      <c r="AZ96" s="1182" t="s">
        <v>1439</v>
      </c>
    </row>
    <row s="1642" customFormat="1" customHeight="1" ht="28.5">
      <c r="A97" s="1498"/>
      <c r="B97" s="925"/>
      <c r="C97" s="1498"/>
      <c r="D97" s="1498"/>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98"/>
      <c r="V97" s="1498"/>
      <c r="W97" s="1498"/>
      <c r="X97" s="1498"/>
      <c r="Y97" s="1498"/>
      <c r="Z97" s="1498"/>
      <c r="AA97" s="935"/>
      <c r="AB97" s="170" t="s">
        <v>1440</v>
      </c>
      <c r="AC97" s="630" t="s">
        <v>1441</v>
      </c>
      <c r="AD97" s="166" t="s">
        <v>1516</v>
      </c>
      <c r="AE97" s="626" t="s">
        <v>586</v>
      </c>
      <c r="AF97" s="1908"/>
      <c r="AG97" s="1908"/>
      <c r="AH97" s="536"/>
      <c r="AI97" s="536"/>
      <c r="AJ97" s="536"/>
      <c r="AK97" s="536"/>
      <c r="AL97" s="536"/>
      <c r="AM97" s="536"/>
      <c r="AN97" s="536"/>
      <c r="AO97" s="536"/>
      <c r="AP97" s="536"/>
      <c r="AQ97" s="536"/>
      <c r="AR97" s="536"/>
      <c r="AS97" s="536"/>
      <c r="AT97" s="536"/>
      <c r="AU97" s="536"/>
      <c r="AV97" s="536"/>
      <c r="AW97" s="536"/>
      <c r="AX97" s="536"/>
      <c r="AY97" s="536"/>
      <c r="AZ97" s="1182" t="s">
        <v>950</v>
      </c>
    </row>
    <row s="1642" customFormat="1" customHeight="1" ht="30">
      <c r="A98" s="1498"/>
      <c r="B98" s="925"/>
      <c r="C98" s="1498"/>
      <c r="D98" s="1498"/>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98"/>
      <c r="V98" s="1498"/>
      <c r="W98" s="1498"/>
      <c r="X98" s="1498"/>
      <c r="Y98" s="1498"/>
      <c r="Z98" s="1498"/>
      <c r="AA98" s="935"/>
      <c r="AB98" s="170" t="s">
        <v>1443</v>
      </c>
      <c r="AC98" s="630" t="s">
        <v>1411</v>
      </c>
      <c r="AD98" s="166" t="s">
        <v>1512</v>
      </c>
      <c r="AE98" s="626" t="s">
        <v>586</v>
      </c>
      <c r="AF98" s="1908"/>
      <c r="AG98" s="1908"/>
      <c r="AH98" s="536"/>
      <c r="AI98" s="536"/>
      <c r="AJ98" s="536"/>
      <c r="AK98" s="536"/>
      <c r="AL98" s="536"/>
      <c r="AM98" s="536"/>
      <c r="AN98" s="536"/>
      <c r="AO98" s="536"/>
      <c r="AP98" s="536"/>
      <c r="AQ98" s="536"/>
      <c r="AR98" s="536"/>
      <c r="AS98" s="536"/>
      <c r="AT98" s="536"/>
      <c r="AU98" s="536"/>
      <c r="AV98" s="536"/>
      <c r="AW98" s="536"/>
      <c r="AX98" s="536"/>
      <c r="AY98" s="536"/>
      <c r="AZ98" s="1182" t="s">
        <v>1393</v>
      </c>
    </row>
    <row s="1642" customFormat="1" customHeight="1" ht="27.75">
      <c r="A99" s="1498"/>
      <c r="B99" s="925"/>
      <c r="C99" s="1498"/>
      <c r="D99" s="1498"/>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98"/>
      <c r="V99" s="1498"/>
      <c r="W99" s="1498"/>
      <c r="X99" s="1498"/>
      <c r="Y99" s="1498"/>
      <c r="Z99" s="1498"/>
      <c r="AA99" s="935"/>
      <c r="AB99" s="170" t="s">
        <v>1444</v>
      </c>
      <c r="AC99" s="630" t="s">
        <v>1415</v>
      </c>
      <c r="AD99" s="166" t="s">
        <v>1513</v>
      </c>
      <c r="AE99" s="626" t="s">
        <v>586</v>
      </c>
      <c r="AF99" s="1908"/>
      <c r="AG99" s="1908"/>
      <c r="AH99" s="536"/>
      <c r="AI99" s="536"/>
      <c r="AJ99" s="536"/>
      <c r="AK99" s="536"/>
      <c r="AL99" s="536"/>
      <c r="AM99" s="536"/>
      <c r="AN99" s="536"/>
      <c r="AO99" s="536"/>
      <c r="AP99" s="536"/>
      <c r="AQ99" s="536"/>
      <c r="AR99" s="536"/>
      <c r="AS99" s="536"/>
      <c r="AT99" s="536"/>
      <c r="AU99" s="536"/>
      <c r="AV99" s="536"/>
      <c r="AW99" s="536"/>
      <c r="AX99" s="536"/>
      <c r="AY99" s="536"/>
      <c r="AZ99" s="1182" t="s">
        <v>1445</v>
      </c>
    </row>
    <row s="1642" customFormat="1" customHeight="1" ht="21.75">
      <c r="A100" s="1498"/>
      <c r="B100" s="925"/>
      <c r="C100" s="1498"/>
      <c r="D100" s="1498"/>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98"/>
      <c r="V100" s="1498"/>
      <c r="W100" s="1498"/>
      <c r="X100" s="1498"/>
      <c r="Y100" s="1498"/>
      <c r="Z100" s="1498"/>
      <c r="AA100" s="935"/>
      <c r="AB100" s="170" t="s">
        <v>1446</v>
      </c>
      <c r="AC100" s="630" t="s">
        <v>1447</v>
      </c>
      <c r="AD100" s="166" t="s">
        <v>1514</v>
      </c>
      <c r="AE100" s="626" t="s">
        <v>889</v>
      </c>
      <c r="AF100" s="1908"/>
      <c r="AG100" s="1908"/>
      <c r="AH100" s="536"/>
      <c r="AI100" s="536"/>
      <c r="AJ100" s="536"/>
      <c r="AK100" s="536"/>
      <c r="AL100" s="536"/>
      <c r="AM100" s="536"/>
      <c r="AN100" s="536"/>
      <c r="AO100" s="536"/>
      <c r="AP100" s="536"/>
      <c r="AQ100" s="536"/>
      <c r="AR100" s="536"/>
      <c r="AS100" s="536"/>
      <c r="AT100" s="536"/>
      <c r="AU100" s="536"/>
      <c r="AV100" s="536"/>
      <c r="AW100" s="536"/>
      <c r="AX100" s="536"/>
      <c r="AY100" s="536"/>
      <c r="AZ100" s="1182" t="s">
        <v>1448</v>
      </c>
    </row>
    <row s="1642" customFormat="1" customHeight="1" ht="15.75">
      <c r="A101" s="1498"/>
      <c r="B101" s="925"/>
      <c r="C101" s="1498"/>
      <c r="D101" s="1498"/>
      <c r="E101" s="794">
        <v>16.5</v>
      </c>
      <c r="F101" s="920" cm="1" t="str">
        <f t="array" ref="F101:F101">F100</f>
        <v>1</v>
      </c>
      <c r="G101" s="736" t="s">
        <v>971</v>
      </c>
      <c r="H101" s="963"/>
      <c r="I101" s="963"/>
      <c r="J101" s="963"/>
      <c r="K101" s="963"/>
      <c r="L101" s="963"/>
      <c r="M101" s="963"/>
      <c r="N101" s="963"/>
      <c r="O101" s="963"/>
      <c r="P101" s="963"/>
      <c r="Q101" s="926"/>
      <c r="R101" s="926"/>
      <c r="S101" s="963"/>
      <c r="T101" s="816" cm="1" t="str">
        <f t="array" ref="T101:T101">T100</f>
        <v>true</v>
      </c>
      <c r="U101" s="1498"/>
      <c r="V101" s="1498"/>
      <c r="W101" s="1498"/>
      <c r="X101" s="1498"/>
      <c r="Y101" s="1498"/>
      <c r="Z101" s="1498"/>
      <c r="AA101" s="935"/>
      <c r="AB101" s="170" t="s">
        <v>1449</v>
      </c>
      <c r="AC101" s="578" t="s">
        <v>1450</v>
      </c>
      <c r="AD101" s="628"/>
      <c r="AE101" s="626" t="s">
        <v>1368</v>
      </c>
      <c r="AF101" s="1908">
        <f>_xlfn.SUMIFS('Ресурсы (5.4)'!AF$26:AF$47,'Ресурсы (5.4)'!$F$26:$F$47,$F101,'Ресурсы (5.4)'!$G$26:$G$47,$G101)</f>
        <v>0</v>
      </c>
      <c r="AG101" s="1908">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1451</v>
      </c>
    </row>
    <row s="1642" customFormat="1" customHeight="1" ht="28.5">
      <c r="A102" s="1498"/>
      <c r="B102" s="925"/>
      <c r="C102" s="1498"/>
      <c r="D102" s="1498"/>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98"/>
      <c r="V102" s="1498"/>
      <c r="W102" s="1498"/>
      <c r="X102" s="1498"/>
      <c r="Y102" s="1498"/>
      <c r="Z102" s="1498"/>
      <c r="AA102" s="935"/>
      <c r="AB102" s="170" t="s">
        <v>1452</v>
      </c>
      <c r="AC102" s="630" t="s">
        <v>1453</v>
      </c>
      <c r="AD102" s="166" t="s">
        <v>1516</v>
      </c>
      <c r="AE102" s="626" t="s">
        <v>1428</v>
      </c>
      <c r="AF102" s="1908"/>
      <c r="AG102" s="1908"/>
      <c r="AH102" s="536"/>
      <c r="AI102" s="536"/>
      <c r="AJ102" s="536"/>
      <c r="AK102" s="536"/>
      <c r="AL102" s="536"/>
      <c r="AM102" s="536"/>
      <c r="AN102" s="536"/>
      <c r="AO102" s="536"/>
      <c r="AP102" s="536"/>
      <c r="AQ102" s="536"/>
      <c r="AR102" s="536"/>
      <c r="AS102" s="536"/>
      <c r="AT102" s="536"/>
      <c r="AU102" s="536"/>
      <c r="AV102" s="536"/>
      <c r="AW102" s="536"/>
      <c r="AX102" s="536"/>
      <c r="AY102" s="536"/>
      <c r="AZ102" s="1182" t="s">
        <v>978</v>
      </c>
    </row>
    <row s="1642" customFormat="1" customHeight="1" ht="30">
      <c r="A103" s="1498"/>
      <c r="B103" s="925"/>
      <c r="C103" s="1498"/>
      <c r="D103" s="1498"/>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98"/>
      <c r="V103" s="1498"/>
      <c r="W103" s="1498"/>
      <c r="X103" s="1498"/>
      <c r="Y103" s="1498"/>
      <c r="Z103" s="1498"/>
      <c r="AA103" s="935"/>
      <c r="AB103" s="170" t="s">
        <v>1454</v>
      </c>
      <c r="AC103" s="630" t="s">
        <v>1411</v>
      </c>
      <c r="AD103" s="166" t="s">
        <v>1512</v>
      </c>
      <c r="AE103" s="626" t="s">
        <v>586</v>
      </c>
      <c r="AF103" s="1908"/>
      <c r="AG103" s="1908"/>
      <c r="AH103" s="536"/>
      <c r="AI103" s="536"/>
      <c r="AJ103" s="536"/>
      <c r="AK103" s="536"/>
      <c r="AL103" s="536"/>
      <c r="AM103" s="536"/>
      <c r="AN103" s="536"/>
      <c r="AO103" s="536"/>
      <c r="AP103" s="536"/>
      <c r="AQ103" s="536"/>
      <c r="AR103" s="536"/>
      <c r="AS103" s="536"/>
      <c r="AT103" s="536"/>
      <c r="AU103" s="536"/>
      <c r="AV103" s="536"/>
      <c r="AW103" s="536"/>
      <c r="AX103" s="536"/>
      <c r="AY103" s="536"/>
      <c r="AZ103" s="1182" t="s">
        <v>1455</v>
      </c>
    </row>
    <row s="1642" customFormat="1" customHeight="1" ht="27.75">
      <c r="A104" s="1498"/>
      <c r="B104" s="925"/>
      <c r="C104" s="1498"/>
      <c r="D104" s="1498"/>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98"/>
      <c r="V104" s="1498"/>
      <c r="W104" s="1498"/>
      <c r="X104" s="1498"/>
      <c r="Y104" s="1498"/>
      <c r="Z104" s="1498"/>
      <c r="AA104" s="935"/>
      <c r="AB104" s="170" t="s">
        <v>1456</v>
      </c>
      <c r="AC104" s="630" t="s">
        <v>1415</v>
      </c>
      <c r="AD104" s="166" t="s">
        <v>1513</v>
      </c>
      <c r="AE104" s="626" t="s">
        <v>586</v>
      </c>
      <c r="AF104" s="1908"/>
      <c r="AG104" s="1908"/>
      <c r="AH104" s="536"/>
      <c r="AI104" s="536"/>
      <c r="AJ104" s="536"/>
      <c r="AK104" s="536"/>
      <c r="AL104" s="536"/>
      <c r="AM104" s="536"/>
      <c r="AN104" s="536"/>
      <c r="AO104" s="536"/>
      <c r="AP104" s="536"/>
      <c r="AQ104" s="536"/>
      <c r="AR104" s="536"/>
      <c r="AS104" s="536"/>
      <c r="AT104" s="536"/>
      <c r="AU104" s="536"/>
      <c r="AV104" s="536"/>
      <c r="AW104" s="536"/>
      <c r="AX104" s="536"/>
      <c r="AY104" s="536"/>
      <c r="AZ104" s="1182" t="s">
        <v>1457</v>
      </c>
    </row>
    <row s="1642" customFormat="1" customHeight="1" ht="21.75">
      <c r="A105" s="1498"/>
      <c r="B105" s="925"/>
      <c r="C105" s="1498"/>
      <c r="D105" s="1498"/>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98"/>
      <c r="V105" s="1498"/>
      <c r="W105" s="1498"/>
      <c r="X105" s="1498"/>
      <c r="Y105" s="1498"/>
      <c r="Z105" s="1498"/>
      <c r="AA105" s="935"/>
      <c r="AB105" s="170" t="s">
        <v>1458</v>
      </c>
      <c r="AC105" s="630" t="s">
        <v>1459</v>
      </c>
      <c r="AD105" s="166" t="s">
        <v>1514</v>
      </c>
      <c r="AE105" s="626" t="s">
        <v>1435</v>
      </c>
      <c r="AF105" s="1908"/>
      <c r="AG105" s="1908"/>
      <c r="AH105" s="536"/>
      <c r="AI105" s="536"/>
      <c r="AJ105" s="536"/>
      <c r="AK105" s="536"/>
      <c r="AL105" s="536"/>
      <c r="AM105" s="536"/>
      <c r="AN105" s="536"/>
      <c r="AO105" s="536"/>
      <c r="AP105" s="536"/>
      <c r="AQ105" s="536"/>
      <c r="AR105" s="536"/>
      <c r="AS105" s="536"/>
      <c r="AT105" s="536"/>
      <c r="AU105" s="536"/>
      <c r="AV105" s="536"/>
      <c r="AW105" s="536"/>
      <c r="AX105" s="536"/>
      <c r="AY105" s="536"/>
      <c r="AZ105" s="1182" t="s">
        <v>1460</v>
      </c>
    </row>
    <row s="1642" customFormat="1" customHeight="1" ht="36.75">
      <c r="A106" s="1498"/>
      <c r="B106" s="925"/>
      <c r="C106" s="1498"/>
      <c r="D106" s="1498"/>
      <c r="E106" s="794">
        <v>38.3</v>
      </c>
      <c r="F106" s="920" cm="1" t="str">
        <f t="array" ref="F106:F106">F105</f>
        <v>1</v>
      </c>
      <c r="G106" s="736" t="s">
        <v>1318</v>
      </c>
      <c r="H106" s="963"/>
      <c r="I106" s="963"/>
      <c r="J106" s="963"/>
      <c r="K106" s="963"/>
      <c r="L106" s="963"/>
      <c r="M106" s="963"/>
      <c r="N106" s="963"/>
      <c r="O106" s="963"/>
      <c r="P106" s="963"/>
      <c r="Q106" s="926"/>
      <c r="R106" s="926"/>
      <c r="S106" s="963"/>
      <c r="T106" s="816" cm="1" t="str">
        <f t="array" ref="T106:T106">T105</f>
        <v>true</v>
      </c>
      <c r="U106" s="1498"/>
      <c r="V106" s="1498"/>
      <c r="W106" s="1498"/>
      <c r="X106" s="1498"/>
      <c r="Y106" s="1498"/>
      <c r="Z106" s="1498"/>
      <c r="AA106" s="935"/>
      <c r="AB106" s="170" t="s">
        <v>1461</v>
      </c>
      <c r="AC106" s="559" t="s">
        <v>1462</v>
      </c>
      <c r="AD106" s="628" t="s">
        <v>1463</v>
      </c>
      <c r="AE106" s="626" t="s">
        <v>799</v>
      </c>
      <c r="AF106" s="1908">
        <f>_xlfn.SUMIFS('Калькуляция (5.9)'!AF$26:AF$138,'Калькуляция (5.9)'!$F$26:$F$138,$F106,'Калькуляция (5.9)'!$G$26:$G$138,$G106)</f>
        <v>39953.66</v>
      </c>
      <c r="AG106" s="1908">
        <f>_xlfn.SUMIFS('Калькуляция (5.9)'!AG$26:AG$138,'Калькуляция (5.9)'!$F$26:$F$138,$F106,'Калькуляция (5.9)'!$G$26:$G$138,$G106)</f>
        <v>7305.29</v>
      </c>
      <c r="AH106" s="536"/>
      <c r="AI106" s="536"/>
      <c r="AJ106" s="536"/>
      <c r="AK106" s="536"/>
      <c r="AL106" s="536"/>
      <c r="AM106" s="536"/>
      <c r="AN106" s="536"/>
      <c r="AO106" s="536"/>
      <c r="AP106" s="536"/>
      <c r="AQ106" s="536"/>
      <c r="AR106" s="536"/>
      <c r="AS106" s="536"/>
      <c r="AT106" s="536"/>
      <c r="AU106" s="536"/>
      <c r="AV106" s="536"/>
      <c r="AW106" s="536"/>
      <c r="AX106" s="536"/>
      <c r="AY106" s="536"/>
      <c r="AZ106" s="1182" t="s">
        <v>1464</v>
      </c>
    </row>
    <row s="1642" customFormat="1" customHeight="1" ht="20.25">
      <c r="A107" s="1498"/>
      <c r="B107" s="925"/>
      <c r="C107" s="1498"/>
      <c r="D107" s="1498"/>
      <c r="E107" s="794">
        <v>21</v>
      </c>
      <c r="F107" s="920" cm="1" t="str">
        <f t="array" ref="F107:F107">F106</f>
        <v>1</v>
      </c>
      <c r="G107" s="736" t="s">
        <v>1465</v>
      </c>
      <c r="H107" s="963"/>
      <c r="I107" s="963"/>
      <c r="J107" s="963"/>
      <c r="K107" s="963"/>
      <c r="L107" s="963"/>
      <c r="M107" s="963"/>
      <c r="N107" s="963"/>
      <c r="O107" s="963"/>
      <c r="P107" s="963"/>
      <c r="Q107" s="926"/>
      <c r="R107" s="926"/>
      <c r="S107" s="963"/>
      <c r="T107" s="816" cm="1" t="str">
        <f t="array" ref="T107:T107">T106</f>
        <v>true</v>
      </c>
      <c r="U107" s="1498"/>
      <c r="V107" s="1498"/>
      <c r="W107" s="1498"/>
      <c r="X107" s="1498"/>
      <c r="Y107" s="1498"/>
      <c r="Z107" s="1498"/>
      <c r="AA107" s="935"/>
      <c r="AB107" s="170" t="s">
        <v>1466</v>
      </c>
      <c r="AC107" s="163" t="s">
        <v>1467</v>
      </c>
      <c r="AD107" s="626"/>
      <c r="AE107" s="626" t="s">
        <v>799</v>
      </c>
      <c r="AF107" s="1908">
        <f>_xlfn.SUMIFS('Калькуляция (5.9)'!AF$26:AF$138,'Калькуляция (5.9)'!$F$26:$F$138,$F107,'Калькуляция (5.9)'!$G$26:$G$138,$G107)</f>
        <v>5809.64</v>
      </c>
      <c r="AG107" s="1908">
        <f>_xlfn.SUMIFS('Калькуляция (5.9)'!AG$26:AG$138,'Калькуляция (5.9)'!$F$26:$F$138,$F107,'Калькуляция (5.9)'!$G$26:$G$138,$G107)</f>
        <v>5318.38</v>
      </c>
      <c r="AH107" s="536"/>
      <c r="AI107" s="536"/>
      <c r="AJ107" s="536"/>
      <c r="AK107" s="536"/>
      <c r="AL107" s="536"/>
      <c r="AM107" s="536"/>
      <c r="AN107" s="536"/>
      <c r="AO107" s="536"/>
      <c r="AP107" s="536"/>
      <c r="AQ107" s="536"/>
      <c r="AR107" s="536"/>
      <c r="AS107" s="536"/>
      <c r="AT107" s="536"/>
      <c r="AU107" s="536"/>
      <c r="AV107" s="536"/>
      <c r="AW107" s="536"/>
      <c r="AX107" s="536"/>
      <c r="AY107" s="536"/>
      <c r="AZ107" s="1182" t="s">
        <v>1468</v>
      </c>
    </row>
    <row s="1642" customFormat="1" customHeight="1" ht="20.25">
      <c r="A108" s="1498"/>
      <c r="B108" s="925"/>
      <c r="C108" s="1498"/>
      <c r="D108" s="1498"/>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98"/>
      <c r="V108" s="1498"/>
      <c r="W108" s="1498"/>
      <c r="X108" s="1498"/>
      <c r="Y108" s="1498"/>
      <c r="Z108" s="1498"/>
      <c r="AA108" s="935"/>
      <c r="AB108" s="170" t="s">
        <v>1469</v>
      </c>
      <c r="AC108" s="1065" t="s">
        <v>1470</v>
      </c>
      <c r="AD108" s="626"/>
      <c r="AE108" s="626" t="s">
        <v>485</v>
      </c>
      <c r="AF108" s="1996"/>
      <c r="AG108" s="1996"/>
      <c r="AH108" s="536"/>
      <c r="AI108" s="536"/>
      <c r="AJ108" s="536"/>
      <c r="AK108" s="536"/>
      <c r="AL108" s="536"/>
      <c r="AM108" s="536"/>
      <c r="AN108" s="536"/>
      <c r="AO108" s="536"/>
      <c r="AP108" s="536"/>
      <c r="AQ108" s="536"/>
      <c r="AR108" s="536"/>
      <c r="AS108" s="536"/>
      <c r="AT108" s="536"/>
      <c r="AU108" s="536"/>
      <c r="AV108" s="536"/>
      <c r="AW108" s="536"/>
      <c r="AX108" s="536"/>
      <c r="AY108" s="536"/>
      <c r="AZ108" s="1182" t="s">
        <v>1471</v>
      </c>
    </row>
    <row s="1642" customFormat="1" customHeight="1" ht="21.75">
      <c r="A109" s="1498"/>
      <c r="B109" s="925"/>
      <c r="C109" s="1498"/>
      <c r="D109" s="1498"/>
      <c r="E109" s="794">
        <v>22.5</v>
      </c>
      <c r="F109" s="920" cm="1" t="str">
        <f t="array" ref="F109:F109">F107</f>
        <v>1</v>
      </c>
      <c r="G109" s="736" t="s">
        <v>1472</v>
      </c>
      <c r="H109" s="963"/>
      <c r="I109" s="963"/>
      <c r="J109" s="963"/>
      <c r="K109" s="963"/>
      <c r="L109" s="963"/>
      <c r="M109" s="963"/>
      <c r="N109" s="963"/>
      <c r="O109" s="963"/>
      <c r="P109" s="963"/>
      <c r="Q109" s="926"/>
      <c r="R109" s="926"/>
      <c r="S109" s="963"/>
      <c r="T109" s="816" cm="1" t="str">
        <f t="array" ref="T109:T109">T107</f>
        <v>true</v>
      </c>
      <c r="U109" s="1498"/>
      <c r="V109" s="1498"/>
      <c r="W109" s="1498"/>
      <c r="X109" s="1498"/>
      <c r="Y109" s="1498"/>
      <c r="Z109" s="1498"/>
      <c r="AA109" s="935"/>
      <c r="AB109" s="170" t="s">
        <v>1473</v>
      </c>
      <c r="AC109" s="163" t="s">
        <v>1474</v>
      </c>
      <c r="AD109" s="626"/>
      <c r="AE109" s="626" t="s">
        <v>799</v>
      </c>
      <c r="AF109" s="1908">
        <f>_xlfn.SUMIFS('Калькуляция (5.9)'!AF$26:AF$138,'Калькуляция (5.9)'!$F$26:$F$138,$F109,'Калькуляция (5.9)'!$G$26:$G$138,$G109)</f>
        <v>0</v>
      </c>
      <c r="AG109" s="1908">
        <f>_xlfn.SUMIFS('Калькуляция (5.9)'!AG$26:AG$138,'Калькуляция (5.9)'!$F$26:$F$138,$F109,'Калькуляция (5.9)'!$G$26:$G$138,$G109)</f>
        <v>0</v>
      </c>
      <c r="AH109" s="536"/>
      <c r="AI109" s="536"/>
      <c r="AJ109" s="536"/>
      <c r="AK109" s="536"/>
      <c r="AL109" s="536"/>
      <c r="AM109" s="536"/>
      <c r="AN109" s="536"/>
      <c r="AO109" s="536"/>
      <c r="AP109" s="536"/>
      <c r="AQ109" s="536"/>
      <c r="AR109" s="536"/>
      <c r="AS109" s="536"/>
      <c r="AT109" s="536"/>
      <c r="AU109" s="536"/>
      <c r="AV109" s="536"/>
      <c r="AW109" s="536"/>
      <c r="AX109" s="536"/>
      <c r="AY109" s="536"/>
      <c r="AZ109" s="1182" t="s">
        <v>1475</v>
      </c>
    </row>
    <row s="1642" customFormat="1" customHeight="1" ht="21.75">
      <c r="A110" s="1498"/>
      <c r="B110" s="925"/>
      <c r="C110" s="1498"/>
      <c r="D110" s="1498"/>
      <c r="E110" s="794">
        <v>22.8</v>
      </c>
      <c r="F110" s="920" cm="1" t="str">
        <f t="array" ref="F110:F110">F109</f>
        <v>1</v>
      </c>
      <c r="G110" s="736" t="s">
        <v>626</v>
      </c>
      <c r="H110" s="963"/>
      <c r="I110" s="963"/>
      <c r="J110" s="963"/>
      <c r="K110" s="963"/>
      <c r="L110" s="963"/>
      <c r="M110" s="963"/>
      <c r="N110" s="963"/>
      <c r="O110" s="963"/>
      <c r="P110" s="963"/>
      <c r="Q110" s="926"/>
      <c r="R110" s="926"/>
      <c r="S110" s="963"/>
      <c r="T110" s="816" cm="1" t="str">
        <f t="array" ref="T110:T110">T109</f>
        <v>true</v>
      </c>
      <c r="U110" s="1498"/>
      <c r="V110" s="1498"/>
      <c r="W110" s="1498"/>
      <c r="X110" s="1498"/>
      <c r="Y110" s="1498"/>
      <c r="Z110" s="1498"/>
      <c r="AA110" s="935"/>
      <c r="AB110" s="170" t="s">
        <v>1476</v>
      </c>
      <c r="AC110" s="163" t="s">
        <v>1477</v>
      </c>
      <c r="AD110" s="626"/>
      <c r="AE110" s="626" t="s">
        <v>799</v>
      </c>
      <c r="AF110" s="1908">
        <f>_xlfn.SUMIFS('Калькуляция (5.9)'!AF$26:AF$138,'Калькуляция (5.9)'!$F$26:$F$138,$F110,'Калькуляция (5.9)'!$G$26:$G$138,$G110)</f>
        <v>0</v>
      </c>
      <c r="AG110" s="1908">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1478</v>
      </c>
    </row>
    <row s="1642" customFormat="1" customHeight="1" ht="29.25">
      <c r="A111" s="1498"/>
      <c r="B111" s="925"/>
      <c r="C111" s="1498"/>
      <c r="D111" s="1498"/>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98"/>
      <c r="V111" s="1498"/>
      <c r="W111" s="1498"/>
      <c r="X111" s="1498"/>
      <c r="Y111" s="1498"/>
      <c r="Z111" s="1498"/>
      <c r="AA111" s="935"/>
      <c r="AB111" s="170" t="s">
        <v>1479</v>
      </c>
      <c r="AC111" s="163" t="s">
        <v>1480</v>
      </c>
      <c r="AD111" s="629"/>
      <c r="AE111" s="626" t="s">
        <v>799</v>
      </c>
      <c r="AF111" s="1908"/>
      <c r="AG111" s="1908"/>
      <c r="AH111" s="536"/>
      <c r="AI111" s="536"/>
      <c r="AJ111" s="536"/>
      <c r="AK111" s="536"/>
      <c r="AL111" s="536"/>
      <c r="AM111" s="536"/>
      <c r="AN111" s="536"/>
      <c r="AO111" s="536"/>
      <c r="AP111" s="536"/>
      <c r="AQ111" s="536"/>
      <c r="AR111" s="536"/>
      <c r="AS111" s="536"/>
      <c r="AT111" s="536"/>
      <c r="AU111" s="536"/>
      <c r="AV111" s="536"/>
      <c r="AW111" s="536"/>
      <c r="AX111" s="536"/>
      <c r="AY111" s="536"/>
      <c r="AZ111" s="1182" t="s">
        <v>1481</v>
      </c>
    </row>
    <row s="1642" customFormat="1" customHeight="1" ht="36.75">
      <c r="A112" s="1498"/>
      <c r="B112" s="925"/>
      <c r="C112" s="1498"/>
      <c r="D112" s="1498"/>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98"/>
      <c r="V112" s="1498"/>
      <c r="W112" s="1498"/>
      <c r="X112" s="1498"/>
      <c r="Y112" s="1498"/>
      <c r="Z112" s="1498"/>
      <c r="AA112" s="935"/>
      <c r="AB112" s="170" t="s">
        <v>1482</v>
      </c>
      <c r="AC112" s="163" t="s">
        <v>1483</v>
      </c>
      <c r="AD112" s="626"/>
      <c r="AE112" s="626" t="s">
        <v>799</v>
      </c>
      <c r="AF112" s="1908"/>
      <c r="AG112" s="1908"/>
      <c r="AH112" s="536"/>
      <c r="AI112" s="536"/>
      <c r="AJ112" s="536"/>
      <c r="AK112" s="536"/>
      <c r="AL112" s="536"/>
      <c r="AM112" s="536"/>
      <c r="AN112" s="536"/>
      <c r="AO112" s="536"/>
      <c r="AP112" s="536"/>
      <c r="AQ112" s="536"/>
      <c r="AR112" s="536"/>
      <c r="AS112" s="536"/>
      <c r="AT112" s="536"/>
      <c r="AU112" s="536"/>
      <c r="AV112" s="536"/>
      <c r="AW112" s="536"/>
      <c r="AX112" s="536"/>
      <c r="AY112" s="536"/>
      <c r="AZ112" s="1182" t="s">
        <v>1484</v>
      </c>
    </row>
    <row s="1642" customFormat="1" customHeight="1" ht="72.75">
      <c r="A113" s="1498"/>
      <c r="B113" s="925"/>
      <c r="C113" s="1498"/>
      <c r="D113" s="1498"/>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98"/>
      <c r="V113" s="1498"/>
      <c r="W113" s="1498"/>
      <c r="X113" s="1498"/>
      <c r="Y113" s="1498"/>
      <c r="Z113" s="1498"/>
      <c r="AA113" s="935"/>
      <c r="AB113" s="170" t="s">
        <v>1485</v>
      </c>
      <c r="AC113" s="163" t="s">
        <v>1486</v>
      </c>
      <c r="AD113" s="626"/>
      <c r="AE113" s="626" t="s">
        <v>799</v>
      </c>
      <c r="AF113" s="1908"/>
      <c r="AG113" s="1908"/>
      <c r="AH113" s="536"/>
      <c r="AI113" s="536"/>
      <c r="AJ113" s="536"/>
      <c r="AK113" s="536"/>
      <c r="AL113" s="536"/>
      <c r="AM113" s="536"/>
      <c r="AN113" s="536"/>
      <c r="AO113" s="536"/>
      <c r="AP113" s="536"/>
      <c r="AQ113" s="536"/>
      <c r="AR113" s="536"/>
      <c r="AS113" s="536"/>
      <c r="AT113" s="536"/>
      <c r="AU113" s="536"/>
      <c r="AV113" s="536"/>
      <c r="AW113" s="536"/>
      <c r="AX113" s="536"/>
      <c r="AY113" s="536"/>
      <c r="AZ113" s="1182" t="s">
        <v>1487</v>
      </c>
    </row>
    <row s="1642" customFormat="1" customHeight="1" ht="72">
      <c r="A114" s="1498"/>
      <c r="B114" s="925"/>
      <c r="C114" s="1498"/>
      <c r="D114" s="1498"/>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98"/>
      <c r="V114" s="1498"/>
      <c r="W114" s="1498"/>
      <c r="X114" s="1498"/>
      <c r="Y114" s="1498"/>
      <c r="Z114" s="1498"/>
      <c r="AA114" s="935"/>
      <c r="AB114" s="170" t="s">
        <v>1488</v>
      </c>
      <c r="AC114" s="163" t="s">
        <v>1489</v>
      </c>
      <c r="AD114" s="626"/>
      <c r="AE114" s="626" t="s">
        <v>1368</v>
      </c>
      <c r="AF114" s="1908"/>
      <c r="AG114" s="1908"/>
      <c r="AH114" s="536"/>
      <c r="AI114" s="536"/>
      <c r="AJ114" s="536"/>
      <c r="AK114" s="536"/>
      <c r="AL114" s="536"/>
      <c r="AM114" s="536"/>
      <c r="AN114" s="536"/>
      <c r="AO114" s="536"/>
      <c r="AP114" s="536"/>
      <c r="AQ114" s="536"/>
      <c r="AR114" s="536"/>
      <c r="AS114" s="536"/>
      <c r="AT114" s="536"/>
      <c r="AU114" s="536"/>
      <c r="AV114" s="536"/>
      <c r="AW114" s="536"/>
      <c r="AX114" s="536"/>
      <c r="AY114" s="536"/>
      <c r="AZ114" s="1182" t="s">
        <v>1490</v>
      </c>
    </row>
    <row s="1642" customFormat="1" customHeight="1" ht="55.5">
      <c r="A115" s="1498"/>
      <c r="B115" s="925"/>
      <c r="C115" s="1498"/>
      <c r="D115" s="1498"/>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98"/>
      <c r="V115" s="1498"/>
      <c r="W115" s="1498"/>
      <c r="X115" s="1498"/>
      <c r="Y115" s="1498"/>
      <c r="Z115" s="1498"/>
      <c r="AA115" s="935"/>
      <c r="AB115" s="170" t="s">
        <v>440</v>
      </c>
      <c r="AC115" s="624" t="s">
        <v>1491</v>
      </c>
      <c r="AD115" s="166" t="s">
        <v>1517</v>
      </c>
      <c r="AE115" s="626" t="s">
        <v>1368</v>
      </c>
      <c r="AF115" s="1908"/>
      <c r="AG115" s="1908"/>
      <c r="AH115" s="536"/>
      <c r="AI115" s="536"/>
      <c r="AJ115" s="536"/>
      <c r="AK115" s="536"/>
      <c r="AL115" s="536"/>
      <c r="AM115" s="536"/>
      <c r="AN115" s="536"/>
      <c r="AO115" s="536"/>
      <c r="AP115" s="536"/>
      <c r="AQ115" s="536"/>
      <c r="AR115" s="536"/>
      <c r="AS115" s="536"/>
      <c r="AT115" s="536"/>
      <c r="AU115" s="536"/>
      <c r="AV115" s="536"/>
      <c r="AW115" s="536"/>
      <c r="AX115" s="536"/>
      <c r="AY115" s="536"/>
      <c r="AZ115" s="1182" t="s">
        <v>1493</v>
      </c>
    </row>
    <row s="1642" customFormat="1" customHeight="1" ht="10.5">
      <c r="A116" s="1498"/>
      <c r="B116" s="925"/>
      <c r="C116" s="1498"/>
      <c r="D116" s="1498"/>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98"/>
      <c r="V116" s="1498"/>
      <c r="W116" s="1498"/>
      <c r="X116" s="1498"/>
      <c r="Y116" s="1498"/>
      <c r="Z116" s="1498"/>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42" customFormat="1" customHeight="1" ht="10.5">
      <c r="A117" s="1498"/>
      <c r="B117" s="925"/>
      <c r="C117" s="1498"/>
      <c r="D117" s="1498"/>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98"/>
      <c r="V117" s="1498"/>
      <c r="W117" s="1498"/>
      <c r="X117" s="1498"/>
      <c r="Y117" s="1498"/>
      <c r="Z117" s="1498"/>
      <c r="AA117" s="935"/>
      <c r="AB117" s="670" t="s">
        <v>1364</v>
      </c>
      <c r="AC117" s="1531" t="s">
        <v>483</v>
      </c>
      <c r="AD117" s="322" t="s">
        <v>1113</v>
      </c>
      <c r="AE117" s="154">
        <f>god-2</f>
        <v>2024</v>
      </c>
      <c r="AF117" s="154">
        <f>god-1</f>
        <v>2025</v>
      </c>
      <c r="AG117" s="322" t="s">
        <v>1494</v>
      </c>
      <c r="AH117" s="302" cm="1" t="str">
        <f t="array" ref="AH117:AH117">god</f>
        <v>2026</v>
      </c>
      <c r="AI117" s="154">
        <f>god+1</f>
        <v>2027</v>
      </c>
      <c r="AJ117" s="154">
        <f>god+2</f>
        <v>2028</v>
      </c>
      <c r="AK117" s="154">
        <f>god+3</f>
        <v>2029</v>
      </c>
      <c r="AL117" s="154">
        <f>god+4</f>
        <v>2030</v>
      </c>
      <c r="AM117" s="322" t="s">
        <v>1494</v>
      </c>
      <c r="AN117" s="302" cm="1" t="str">
        <f t="array" ref="AN117:AN117">god</f>
        <v>2026</v>
      </c>
      <c r="AO117" s="154">
        <f>god+1</f>
        <v>2027</v>
      </c>
      <c r="AP117" s="154">
        <f>god+2</f>
        <v>2028</v>
      </c>
      <c r="AQ117" s="154">
        <f>god+3</f>
        <v>2029</v>
      </c>
      <c r="AR117" s="154">
        <f>god+4</f>
        <v>2030</v>
      </c>
      <c r="AS117" s="536"/>
      <c r="AT117" s="536"/>
      <c r="AU117" s="125" t="s">
        <v>1495</v>
      </c>
      <c r="AV117" s="536"/>
      <c r="AW117" s="536"/>
      <c r="AX117" s="536"/>
      <c r="AY117" s="536"/>
      <c r="AZ117" s="1245"/>
    </row>
    <row s="1642" customFormat="1" customHeight="1" ht="21.75">
      <c r="A118" s="1498"/>
      <c r="B118" s="925"/>
      <c r="C118" s="1498"/>
      <c r="D118" s="1498"/>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98"/>
      <c r="V118" s="1498"/>
      <c r="W118" s="1498"/>
      <c r="X118" s="1498"/>
      <c r="Y118" s="1498"/>
      <c r="Z118" s="1498"/>
      <c r="AA118" s="935"/>
      <c r="AB118" s="1530"/>
      <c r="AC118" s="1532"/>
      <c r="AD118" s="322"/>
      <c r="AE118" s="170" t="s">
        <v>1496</v>
      </c>
      <c r="AF118" s="170" t="s">
        <v>1496</v>
      </c>
      <c r="AG118" s="322"/>
      <c r="AH118" s="170" t="s">
        <v>1497</v>
      </c>
      <c r="AI118" s="170" t="s">
        <v>1497</v>
      </c>
      <c r="AJ118" s="170" t="s">
        <v>1497</v>
      </c>
      <c r="AK118" s="170" t="s">
        <v>1497</v>
      </c>
      <c r="AL118" s="170" t="s">
        <v>1497</v>
      </c>
      <c r="AM118" s="322"/>
      <c r="AN118" s="170" t="s">
        <v>1498</v>
      </c>
      <c r="AO118" s="170" t="s">
        <v>1498</v>
      </c>
      <c r="AP118" s="170" t="s">
        <v>1498</v>
      </c>
      <c r="AQ118" s="170" t="s">
        <v>1498</v>
      </c>
      <c r="AR118" s="170" t="s">
        <v>1498</v>
      </c>
      <c r="AS118" s="536"/>
      <c r="AT118" s="536"/>
      <c r="AU118" s="125"/>
      <c r="AV118" s="536"/>
      <c r="AW118" s="536"/>
      <c r="AX118" s="536"/>
      <c r="AY118" s="536"/>
      <c r="AZ118" s="1245"/>
    </row>
    <row s="1642" customFormat="1" customHeight="1" ht="15">
      <c r="A119" s="1498"/>
      <c r="B119" s="925"/>
      <c r="C119" s="1498"/>
      <c r="D119" s="1498"/>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98"/>
      <c r="V119" s="1498"/>
      <c r="W119" s="1498"/>
      <c r="X119" s="1498"/>
      <c r="Y119" s="1498"/>
      <c r="Z119" s="1498"/>
      <c r="AA119" s="935"/>
      <c r="AB119" s="285" t="s">
        <v>608</v>
      </c>
      <c r="AC119" s="404" t="s">
        <v>1499</v>
      </c>
      <c r="AD119" s="626" t="s">
        <v>799</v>
      </c>
      <c r="AE119" s="818" t="s">
        <v>1500</v>
      </c>
      <c r="AF119" s="818" t="s">
        <v>1500</v>
      </c>
      <c r="AG119" s="419" cm="1" t="str">
        <f t="array" ref="AG119:AG119">AF76</f>
        <v>218523.85</v>
      </c>
      <c r="AH119" s="1039"/>
      <c r="AI119" s="1993"/>
      <c r="AJ119" s="1993"/>
      <c r="AK119" s="1998"/>
      <c r="AL119" s="1998"/>
      <c r="AM119" s="419" cm="1" t="str">
        <f t="array" ref="AM119:AM119">AG76</f>
        <v>187742.32882432</v>
      </c>
      <c r="AN119" s="1040"/>
      <c r="AO119" s="1994"/>
      <c r="AP119" s="1994"/>
      <c r="AQ119" s="2000"/>
      <c r="AR119" s="2000"/>
      <c r="AS119" s="536"/>
      <c r="AT119" s="536"/>
      <c r="AU119" s="128"/>
      <c r="AV119" s="536"/>
      <c r="AW119" s="536"/>
      <c r="AX119" s="536"/>
      <c r="AY119" s="536"/>
      <c r="AZ119" s="1182" t="s">
        <v>1501</v>
      </c>
    </row>
    <row s="1642" customFormat="1" customHeight="1" ht="27">
      <c r="A120" s="1498"/>
      <c r="B120" s="925"/>
      <c r="C120" s="1498"/>
      <c r="D120" s="1498"/>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98"/>
      <c r="V120" s="1498"/>
      <c r="W120" s="1498"/>
      <c r="X120" s="1498"/>
      <c r="Y120" s="1498"/>
      <c r="Z120" s="1498"/>
      <c r="AA120" s="935"/>
      <c r="AB120" s="285" t="s">
        <v>618</v>
      </c>
      <c r="AC120" s="632" t="s">
        <v>1502</v>
      </c>
      <c r="AD120" s="626" t="s">
        <v>799</v>
      </c>
      <c r="AE120" s="1998"/>
      <c r="AF120" s="1998"/>
      <c r="AG120" s="419">
        <f>SUM(AH120:AL120)</f>
        <v>0</v>
      </c>
      <c r="AH120" s="1039"/>
      <c r="AI120" s="1993"/>
      <c r="AJ120" s="1993"/>
      <c r="AK120" s="1998"/>
      <c r="AL120" s="1998"/>
      <c r="AM120" s="419">
        <f>SUM(AN120:AR120)</f>
        <v>0</v>
      </c>
      <c r="AN120" s="1040"/>
      <c r="AO120" s="1994"/>
      <c r="AP120" s="1994"/>
      <c r="AQ120" s="2000"/>
      <c r="AR120" s="2000"/>
      <c r="AS120" s="536"/>
      <c r="AT120" s="536"/>
      <c r="AU120" s="128"/>
      <c r="AV120" s="536"/>
      <c r="AW120" s="536"/>
      <c r="AX120" s="536"/>
      <c r="AY120" s="536"/>
      <c r="AZ120" s="1182" t="s">
        <v>1503</v>
      </c>
    </row>
    <row s="1642" customFormat="1" customHeight="1" ht="15">
      <c r="A121" s="1498"/>
      <c r="B121" s="925"/>
      <c r="C121" s="1498"/>
      <c r="D121" s="1498"/>
      <c r="E121" s="794">
        <v>15.8</v>
      </c>
      <c r="F121" s="920" cm="1" t="str">
        <f t="array" ref="F121:F121">F120</f>
        <v>1</v>
      </c>
      <c r="G121" s="736" t="s">
        <v>1504</v>
      </c>
      <c r="H121" s="963"/>
      <c r="I121" s="963"/>
      <c r="J121" s="963"/>
      <c r="K121" s="963"/>
      <c r="L121" s="963"/>
      <c r="M121" s="963"/>
      <c r="N121" s="963"/>
      <c r="O121" s="963"/>
      <c r="P121" s="963"/>
      <c r="Q121" s="926"/>
      <c r="R121" s="926"/>
      <c r="S121" s="963"/>
      <c r="T121" s="816" cm="1" t="str">
        <f t="array" ref="T121:T121">T120</f>
        <v>true</v>
      </c>
      <c r="U121" s="1498"/>
      <c r="V121" s="1498"/>
      <c r="W121" s="1498"/>
      <c r="X121" s="1498"/>
      <c r="Y121" s="1498"/>
      <c r="Z121" s="1498"/>
      <c r="AA121" s="935"/>
      <c r="AB121" s="311" t="s">
        <v>623</v>
      </c>
      <c r="AC121" s="624" t="s">
        <v>1505</v>
      </c>
      <c r="AD121" s="626" t="s">
        <v>799</v>
      </c>
      <c r="AE121" s="419" cm="1" t="str">
        <f t="array" ref="AE121:AE121">AE120</f>
        <v>0</v>
      </c>
      <c r="AF121" s="419" cm="1" t="str">
        <f t="array" ref="AF121:AF121">AF120</f>
        <v>0</v>
      </c>
      <c r="AG121" s="419">
        <f>AG119+AG120</f>
        <v>218523.85</v>
      </c>
      <c r="AH121" s="419">
        <f>AH119+AH120</f>
        <v>0</v>
      </c>
      <c r="AI121" s="419">
        <f>AI119+AI120</f>
        <v>0</v>
      </c>
      <c r="AJ121" s="419">
        <f>AJ119+AJ120</f>
        <v>0</v>
      </c>
      <c r="AK121" s="419">
        <f>AK119+AK120</f>
        <v>0</v>
      </c>
      <c r="AL121" s="419">
        <f>AL119+AL120</f>
        <v>0</v>
      </c>
      <c r="AM121" s="419">
        <f>AM119+AM120</f>
        <v>187742.32882432</v>
      </c>
      <c r="AN121" s="419">
        <f>AN119+AN120</f>
        <v>0</v>
      </c>
      <c r="AO121" s="419">
        <f>AO119+AO120</f>
        <v>0</v>
      </c>
      <c r="AP121" s="419">
        <f>AP119+AP120</f>
        <v>0</v>
      </c>
      <c r="AQ121" s="419">
        <f>AQ119+AQ120</f>
        <v>0</v>
      </c>
      <c r="AR121" s="419">
        <f>AR119+AR120</f>
        <v>0</v>
      </c>
      <c r="AS121" s="536"/>
      <c r="AT121" s="536"/>
      <c r="AU121" s="128"/>
      <c r="AV121" s="536"/>
      <c r="AW121" s="536"/>
      <c r="AX121" s="536"/>
      <c r="AY121" s="536"/>
      <c r="AZ121" s="1182" t="s">
        <v>1506</v>
      </c>
    </row>
    <row customHeight="1" ht="11.115">
      <c r="E122" s="794">
        <v>11.4</v>
      </c>
      <c r="U122" s="176" t="s">
        <v>237</v>
      </c>
      <c r="V122" s="168" t="s">
        <v>1518</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B68E6-E8EC-6768-BC56-834A478C56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Ульяновская область / 2026 / ООО "НИИАР-ГЕНЕРАЦИЯ" (ИНН:7329008990, КПП:732901001)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1364</v>
      </c>
      <c r="AC25" s="1535" t="s">
        <v>427</v>
      </c>
      <c r="AD25" s="1535" t="s">
        <v>1366</v>
      </c>
      <c r="AE25" s="1361">
        <f>god-4</f>
        <v>2022</v>
      </c>
      <c r="AF25" s="1361">
        <f>god-3</f>
        <v>2023</v>
      </c>
      <c r="AG25" s="1361">
        <f>god-2</f>
        <v>2024</v>
      </c>
      <c r="AH25" s="302" t="s">
        <v>866</v>
      </c>
      <c r="AI25" s="302">
        <f>god-4</f>
        <v>2022</v>
      </c>
      <c r="AJ25" s="302">
        <f>god-3</f>
        <v>2023</v>
      </c>
      <c r="AK25" s="302">
        <f>god-2</f>
        <v>2024</v>
      </c>
      <c r="AL25" s="302" t="s">
        <v>866</v>
      </c>
    </row>
    <row customHeight="1" ht="33.0525">
      <c r="E26" s="794">
        <v>33.9</v>
      </c>
      <c r="AB26" s="1535"/>
      <c r="AC26" s="1535"/>
      <c r="AD26" s="1535"/>
      <c r="AE26" s="1363" t="s">
        <v>1519</v>
      </c>
      <c r="AF26" s="1363" t="s">
        <v>1519</v>
      </c>
      <c r="AG26" s="1363" t="s">
        <v>1519</v>
      </c>
      <c r="AH26" s="558" t="s">
        <v>1519</v>
      </c>
      <c r="AI26" s="558" t="s">
        <v>1520</v>
      </c>
      <c r="AJ26" s="558" t="s">
        <v>1520</v>
      </c>
      <c r="AK26" s="558" t="s">
        <v>1520</v>
      </c>
      <c r="AL26" s="558" t="s">
        <v>1520</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1521</v>
      </c>
      <c r="AD29" s="692" t="s">
        <v>799</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436</v>
      </c>
      <c r="AC30" s="696" t="s">
        <v>1522</v>
      </c>
      <c r="AD30" s="695" t="s">
        <v>799</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899</v>
      </c>
      <c r="AC31" s="696" t="s">
        <v>1523</v>
      </c>
      <c r="AD31" s="695" t="s">
        <v>799</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901</v>
      </c>
      <c r="AC32" s="696" t="s">
        <v>1524</v>
      </c>
      <c r="AD32" s="695" t="s">
        <v>799</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905</v>
      </c>
      <c r="AC33" s="696" t="s">
        <v>1525</v>
      </c>
      <c r="AD33" s="695" t="s">
        <v>799</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1009</v>
      </c>
      <c r="AC34" s="696" t="s">
        <v>1227</v>
      </c>
      <c r="AD34" s="695" t="s">
        <v>799</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1526</v>
      </c>
      <c r="AD35" s="695" t="s">
        <v>799</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443</v>
      </c>
      <c r="AC36" s="696" t="s">
        <v>1522</v>
      </c>
      <c r="AD36" s="695" t="s">
        <v>799</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470</v>
      </c>
      <c r="AC37" s="696" t="s">
        <v>1523</v>
      </c>
      <c r="AD37" s="695" t="s">
        <v>799</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474</v>
      </c>
      <c r="AC38" s="696" t="s">
        <v>1524</v>
      </c>
      <c r="AD38" s="695" t="s">
        <v>799</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478</v>
      </c>
      <c r="AC39" s="696" t="s">
        <v>1525</v>
      </c>
      <c r="AD39" s="695" t="s">
        <v>799</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1527</v>
      </c>
      <c r="AC40" s="696" t="s">
        <v>1227</v>
      </c>
      <c r="AD40" s="695" t="s">
        <v>799</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608</v>
      </c>
      <c r="AC41" s="699" t="s">
        <v>1528</v>
      </c>
      <c r="AD41" s="695" t="s">
        <v>1529</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618</v>
      </c>
      <c r="AC42" s="699" t="s">
        <v>1530</v>
      </c>
      <c r="AD42" s="695" t="s">
        <v>1529</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623</v>
      </c>
      <c r="AC43" s="699" t="s">
        <v>1531</v>
      </c>
      <c r="AD43" s="695" t="s">
        <v>799</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745</v>
      </c>
      <c r="AC44" s="696" t="s">
        <v>1522</v>
      </c>
      <c r="AD44" s="695" t="s">
        <v>799</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1273</v>
      </c>
      <c r="AC45" s="696" t="s">
        <v>1523</v>
      </c>
      <c r="AD45" s="695" t="s">
        <v>799</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1276</v>
      </c>
      <c r="AC46" s="696" t="s">
        <v>1524</v>
      </c>
      <c r="AD46" s="695" t="s">
        <v>799</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1279</v>
      </c>
      <c r="AC47" s="696" t="s">
        <v>1525</v>
      </c>
      <c r="AD47" s="695" t="s">
        <v>799</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1282</v>
      </c>
      <c r="AC48" s="704" t="s">
        <v>1227</v>
      </c>
      <c r="AD48" s="702" t="s">
        <v>799</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1532</v>
      </c>
      <c r="AD49" s="311" t="s">
        <v>799</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1533</v>
      </c>
      <c r="AD50" s="311" t="s">
        <v>799</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17514F-C658-8AF8-E568-6E100B670738}" mc:Ignorable="x14ac xr xr2 xr3">
  <sheetPr>
    <tabColor rgb="FF92D050"/>
    <outlinePr summaryRight="0" summaryBelow="0"/>
    <pageSetUpPr fitToPage="1"/>
  </sheetPr>
  <dimension ref="A1:BX144"/>
  <sheetViews>
    <sheetView showGridLines="0" workbookViewId="0">
      <pane xSplit="30" ySplit="25" topLeftCell="AT112" activePane="bottomRight" state="frozen"/>
      <selection pane="bottomLeft" activeCell="A26" sqref="A26"/>
      <selection pane="topRight" activeCell="AE1" sqref="AE1"/>
      <selection pane="bottomRight" activeCell="AT123" sqref="AT12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1534</v>
      </c>
      <c r="O1" s="1267" t="s">
        <v>1535</v>
      </c>
      <c r="P1" s="1267" t="s">
        <v>1536</v>
      </c>
      <c r="Q1" s="1267" t="s">
        <v>1537</v>
      </c>
      <c r="R1" s="1267"/>
      <c r="S1" s="1"/>
      <c r="T1" s="805" t="s">
        <v>86</v>
      </c>
      <c r="U1" s="805" t="s">
        <v>91</v>
      </c>
      <c r="V1" s="805" t="s">
        <v>87</v>
      </c>
      <c r="W1" s="805" t="s">
        <v>88</v>
      </c>
      <c r="X1" s="805" t="s">
        <v>89</v>
      </c>
      <c r="Y1" s="816" t="s">
        <v>371</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372</v>
      </c>
      <c r="BT1" s="1233" t="s">
        <v>373</v>
      </c>
      <c r="BU1" s="1233" t="s">
        <v>374</v>
      </c>
      <c r="BV1" s="1234" t="s">
        <v>377</v>
      </c>
      <c r="BW1" s="1234" t="s">
        <v>378</v>
      </c>
      <c r="BX1" s="1329" t="s">
        <v>1538</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424</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425</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426</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383</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374</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1539</v>
      </c>
      <c r="AF13" s="1267" t="s">
        <v>1539</v>
      </c>
      <c r="AG13" s="1267" t="s">
        <v>1539</v>
      </c>
      <c r="AH13" s="1267" t="s">
        <v>1539</v>
      </c>
      <c r="AI13" s="1267" t="s">
        <v>1539</v>
      </c>
      <c r="AJ13" s="1267" t="s">
        <v>1539</v>
      </c>
      <c r="AK13" s="1267" t="s">
        <v>1539</v>
      </c>
      <c r="AL13" s="1267" t="s">
        <v>1539</v>
      </c>
      <c r="AM13" s="1267" t="s">
        <v>1539</v>
      </c>
      <c r="AN13" s="1267" t="s">
        <v>1539</v>
      </c>
      <c r="AO13" s="1267" t="s">
        <v>1539</v>
      </c>
      <c r="AP13" s="1267" t="s">
        <v>1539</v>
      </c>
      <c r="AQ13" s="1267" t="s">
        <v>1539</v>
      </c>
      <c r="AR13" s="1267" t="s">
        <v>1539</v>
      </c>
      <c r="AS13" s="1267" t="s">
        <v>1539</v>
      </c>
      <c r="AT13" s="1267" t="s">
        <v>1539</v>
      </c>
      <c r="AU13" s="1267" t="s">
        <v>1539</v>
      </c>
      <c r="AV13" s="1267" t="s">
        <v>1539</v>
      </c>
      <c r="AW13" s="1267" t="s">
        <v>1539</v>
      </c>
      <c r="AX13" s="1267" t="s">
        <v>1539</v>
      </c>
      <c r="AY13" s="1267" t="s">
        <v>1539</v>
      </c>
      <c r="AZ13" s="1267" t="s">
        <v>1539</v>
      </c>
      <c r="BA13" s="1267" t="s">
        <v>1539</v>
      </c>
      <c r="BB13" s="1267" t="s">
        <v>1539</v>
      </c>
      <c r="BC13" s="1267" t="s">
        <v>1539</v>
      </c>
      <c r="BD13" s="1267" t="s">
        <v>1539</v>
      </c>
      <c r="BE13" s="1267" t="s">
        <v>1539</v>
      </c>
      <c r="BF13" s="1267" t="s">
        <v>1539</v>
      </c>
      <c r="BG13" s="1267" t="s">
        <v>1539</v>
      </c>
      <c r="BH13" s="1267" t="s">
        <v>1539</v>
      </c>
      <c r="BI13" s="1267" t="s">
        <v>1539</v>
      </c>
      <c r="BJ13" s="1267" t="s">
        <v>1539</v>
      </c>
      <c r="BK13" s="1267" t="s">
        <v>1539</v>
      </c>
      <c r="BL13" s="1267" t="s">
        <v>1539</v>
      </c>
      <c r="BM13" s="1267" t="s">
        <v>1539</v>
      </c>
      <c r="BS13" s="1273"/>
      <c r="BT13" s="1273"/>
      <c r="BU13" s="1273"/>
      <c r="BV13" s="1273"/>
      <c r="BW13" s="1273"/>
      <c r="BX13" s="1331"/>
    </row>
    <row s="1268" customFormat="1" customHeight="1" ht="12" hidden="1">
      <c r="A14" s="1274" t="s">
        <v>1540</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1541</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1542</v>
      </c>
      <c r="AF15" s="1267" t="s">
        <v>1543</v>
      </c>
      <c r="AG15" s="1267" t="s">
        <v>1542</v>
      </c>
      <c r="AH15" s="1267" t="s">
        <v>1544</v>
      </c>
      <c r="AI15" s="1267" t="s">
        <v>1542</v>
      </c>
      <c r="AJ15" s="1267" t="s">
        <v>1543</v>
      </c>
      <c r="AK15" s="1267" t="s">
        <v>1543</v>
      </c>
      <c r="AL15" s="1267" t="s">
        <v>1543</v>
      </c>
      <c r="AM15" s="1267" t="s">
        <v>1543</v>
      </c>
      <c r="AN15" s="1267" t="s">
        <v>1543</v>
      </c>
      <c r="AO15" s="1267" t="s">
        <v>1543</v>
      </c>
      <c r="AP15" s="1267" t="s">
        <v>1543</v>
      </c>
      <c r="AQ15" s="1267" t="s">
        <v>1543</v>
      </c>
      <c r="AR15" s="1267" t="s">
        <v>1543</v>
      </c>
      <c r="AS15" s="1267" t="s">
        <v>1543</v>
      </c>
      <c r="AT15" s="1267" t="s">
        <v>1542</v>
      </c>
      <c r="AU15" s="1267" t="s">
        <v>1542</v>
      </c>
      <c r="AV15" s="1267" t="s">
        <v>1542</v>
      </c>
      <c r="AW15" s="1267" t="s">
        <v>1542</v>
      </c>
      <c r="AX15" s="1267" t="s">
        <v>1542</v>
      </c>
      <c r="AY15" s="1267" t="s">
        <v>1542</v>
      </c>
      <c r="AZ15" s="1267" t="s">
        <v>1542</v>
      </c>
      <c r="BA15" s="1267" t="s">
        <v>1542</v>
      </c>
      <c r="BB15" s="1267" t="s">
        <v>1542</v>
      </c>
      <c r="BC15" s="1267" t="s">
        <v>1542</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1545</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1546</v>
      </c>
      <c r="AF16" s="1267" t="s">
        <v>1547</v>
      </c>
      <c r="AG16" s="1267" t="s">
        <v>1547</v>
      </c>
      <c r="AH16" s="1267" t="s">
        <v>1548</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1549</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1550</v>
      </c>
      <c r="BO17" s="1267" t="s">
        <v>1551</v>
      </c>
      <c r="BP17" s="1267" t="s">
        <v>1552</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1553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5" t="s">
        <v>385</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1255</v>
      </c>
      <c r="BO24" s="1524" t="s">
        <v>582</v>
      </c>
      <c r="BP24" s="1524" t="s">
        <v>1256</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5"/>
      <c r="AC25" s="1525"/>
      <c r="AD25" s="1525"/>
      <c r="AE25" s="166" t="s">
        <v>401</v>
      </c>
      <c r="AF25" s="1356" t="s">
        <v>583</v>
      </c>
      <c r="AG25" s="166" t="s">
        <v>584</v>
      </c>
      <c r="AH25" s="258" t="s">
        <v>1257</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1258</v>
      </c>
      <c r="BE25" s="1524"/>
      <c r="BF25" s="1524"/>
      <c r="BG25" s="1524"/>
      <c r="BH25" s="1524"/>
      <c r="BI25" s="1524"/>
      <c r="BJ25" s="1524"/>
      <c r="BK25" s="1524"/>
      <c r="BL25" s="1524"/>
      <c r="BM25" s="1524"/>
      <c r="BN25" s="1524"/>
      <c r="BO25" s="1524"/>
      <c r="BP25" s="1524"/>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1554</v>
      </c>
      <c r="D28" s="1258" t="s">
        <v>1555</v>
      </c>
      <c r="E28" s="794">
        <v>17.1</v>
      </c>
      <c r="F28" s="920" cm="1" t="str">
        <f t="array" ref="F28:F28">OFFSET(G28,-1,-1)</f>
        <v>0</v>
      </c>
      <c r="G28" s="190" t="s">
        <v>1259</v>
      </c>
      <c r="M28" s="1282"/>
      <c r="N28" s="1282" cm="1" t="str">
        <f t="array" ref="N28:N28">INDEX('Общие сведения'!$N$169:$N$202,MATCH($F28,'Общие сведения'!$Z$169:$Z$202,0)+1)</f>
        <v>0</v>
      </c>
      <c r="O28" s="1283"/>
      <c r="P28" s="1283"/>
      <c r="Q28" s="1283"/>
      <c r="R28" s="1283"/>
      <c r="T28" s="805" cm="1" t="str">
        <f t="array" ref="T28:T28">T27</f>
        <v>false</v>
      </c>
      <c r="AB28" s="157" t="s">
        <v>337</v>
      </c>
      <c r="AC28" s="738" t="s">
        <v>1312</v>
      </c>
      <c r="AD28" s="485" t="s">
        <v>986</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1556</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1557</v>
      </c>
      <c r="D29" s="1258" t="s">
        <v>1558</v>
      </c>
      <c r="E29" s="794">
        <v>17.1</v>
      </c>
      <c r="F29" s="920" cm="1" t="str">
        <f t="array" ref="F29:F29">OFFSET(G29,-1,-1)</f>
        <v>0</v>
      </c>
      <c r="G29" s="190" t="s">
        <v>1318</v>
      </c>
      <c r="M29" s="1282"/>
      <c r="N29" s="1282" cm="1" t="str">
        <f t="array" ref="N29:N29">OFFSET(M29,-1,1)</f>
        <v>0</v>
      </c>
      <c r="O29" s="1283"/>
      <c r="P29" s="1283"/>
      <c r="Q29" s="1283"/>
      <c r="R29" s="1283"/>
      <c r="T29" s="805" cm="1" t="str">
        <f t="array" ref="T29:T29">T28</f>
        <v>false</v>
      </c>
      <c r="AB29" s="157" t="s">
        <v>440</v>
      </c>
      <c r="AC29" s="649" t="s">
        <v>1559</v>
      </c>
      <c r="AD29" s="485" t="s">
        <v>986</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1560</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1561</v>
      </c>
      <c r="D30" s="1258" t="s">
        <v>1562</v>
      </c>
      <c r="E30" s="794">
        <v>26.3</v>
      </c>
      <c r="F30" s="920" cm="1" t="str">
        <f t="array" ref="F30:F30">OFFSET(G30,-1,-1)</f>
        <v>0</v>
      </c>
      <c r="G30" s="190" t="s">
        <v>1360</v>
      </c>
      <c r="M30" s="1282"/>
      <c r="N30" s="1282" cm="1" t="str">
        <f t="array" ref="N30:N30">OFFSET(M30,-1,1)</f>
        <v>0</v>
      </c>
      <c r="O30" s="1283"/>
      <c r="P30" s="1283"/>
      <c r="Q30" s="1283"/>
      <c r="R30" s="1283"/>
      <c r="T30" s="805" cm="1" t="str">
        <f t="array" ref="T30:T30">T29</f>
        <v>false</v>
      </c>
      <c r="AB30" s="157" t="s">
        <v>608</v>
      </c>
      <c r="AC30" s="649" t="s">
        <v>1563</v>
      </c>
      <c r="AD30" s="485" t="s">
        <v>986</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1564</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1565</v>
      </c>
      <c r="D31" s="1258" t="s">
        <v>1566</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618</v>
      </c>
      <c r="AC31" s="840" t="s">
        <v>1567</v>
      </c>
      <c r="AD31" s="309" t="s">
        <v>799</v>
      </c>
      <c r="AE31" s="122"/>
      <c r="AF31" s="122"/>
      <c r="AG31" s="122"/>
      <c r="AH31" s="307">
        <f>AG31-AF31</f>
        <v>0</v>
      </c>
      <c r="AI31" s="122"/>
      <c r="AJ31" s="614"/>
      <c r="AK31" s="1979"/>
      <c r="AL31" s="1979"/>
      <c r="AM31" s="122"/>
      <c r="AN31" s="122"/>
      <c r="AO31" s="122"/>
      <c r="AP31" s="122"/>
      <c r="AQ31" s="122"/>
      <c r="AR31" s="122"/>
      <c r="AS31" s="122"/>
      <c r="AT31" s="614"/>
      <c r="AU31" s="1979"/>
      <c r="AV31" s="1979"/>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1568</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1569</v>
      </c>
      <c r="D32" s="1258" t="s">
        <v>1570</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740</v>
      </c>
      <c r="AC32" s="312" t="s">
        <v>1571</v>
      </c>
      <c r="AD32" s="309" t="s">
        <v>799</v>
      </c>
      <c r="AE32" s="122"/>
      <c r="AF32" s="122"/>
      <c r="AG32" s="122"/>
      <c r="AH32" s="307">
        <f>AG32-AF32</f>
        <v>0</v>
      </c>
      <c r="AI32" s="122"/>
      <c r="AJ32" s="614"/>
      <c r="AK32" s="1979"/>
      <c r="AL32" s="1979"/>
      <c r="AM32" s="122"/>
      <c r="AN32" s="122"/>
      <c r="AO32" s="122"/>
      <c r="AP32" s="122"/>
      <c r="AQ32" s="122"/>
      <c r="AR32" s="122"/>
      <c r="AS32" s="122"/>
      <c r="AT32" s="614"/>
      <c r="AU32" s="1979"/>
      <c r="AV32" s="1979"/>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1572</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1573</v>
      </c>
      <c r="D33" s="1258" t="s">
        <v>1574</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1575</v>
      </c>
      <c r="AC33" s="312" t="s">
        <v>1576</v>
      </c>
      <c r="AD33" s="309" t="s">
        <v>1577</v>
      </c>
      <c r="AE33" s="122"/>
      <c r="AF33" s="122"/>
      <c r="AG33" s="122"/>
      <c r="AH33" s="307">
        <f>AG33-AF33</f>
        <v>0</v>
      </c>
      <c r="AI33" s="122"/>
      <c r="AJ33" s="614"/>
      <c r="AK33" s="1979"/>
      <c r="AL33" s="1979"/>
      <c r="AM33" s="122"/>
      <c r="AN33" s="122"/>
      <c r="AO33" s="122"/>
      <c r="AP33" s="122"/>
      <c r="AQ33" s="122"/>
      <c r="AR33" s="122"/>
      <c r="AS33" s="122"/>
      <c r="AT33" s="614"/>
      <c r="AU33" s="1979"/>
      <c r="AV33" s="1979"/>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1578</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1579</v>
      </c>
      <c r="D34" s="1258" t="s">
        <v>1580</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623</v>
      </c>
      <c r="AC34" s="840" t="s">
        <v>1581</v>
      </c>
      <c r="AD34" s="309" t="s">
        <v>799</v>
      </c>
      <c r="AE34" s="122"/>
      <c r="AF34" s="122"/>
      <c r="AG34" s="122"/>
      <c r="AH34" s="307">
        <f>AG34-AF34</f>
        <v>0</v>
      </c>
      <c r="AI34" s="122"/>
      <c r="AJ34" s="614"/>
      <c r="AK34" s="1979"/>
      <c r="AL34" s="1979"/>
      <c r="AM34" s="122"/>
      <c r="AN34" s="122"/>
      <c r="AO34" s="122"/>
      <c r="AP34" s="122"/>
      <c r="AQ34" s="122"/>
      <c r="AR34" s="122"/>
      <c r="AS34" s="122"/>
      <c r="AT34" s="614"/>
      <c r="AU34" s="1979"/>
      <c r="AV34" s="1979"/>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1582</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1583</v>
      </c>
      <c r="D35" s="1258" t="s">
        <v>1584</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745</v>
      </c>
      <c r="AC35" s="312" t="s">
        <v>1585</v>
      </c>
      <c r="AD35" s="309" t="s">
        <v>799</v>
      </c>
      <c r="AE35" s="122"/>
      <c r="AF35" s="122"/>
      <c r="AG35" s="122"/>
      <c r="AH35" s="307">
        <f>AG35-AF35</f>
        <v>0</v>
      </c>
      <c r="AI35" s="122"/>
      <c r="AJ35" s="614"/>
      <c r="AK35" s="1979"/>
      <c r="AL35" s="1979"/>
      <c r="AM35" s="122"/>
      <c r="AN35" s="122"/>
      <c r="AO35" s="122"/>
      <c r="AP35" s="122"/>
      <c r="AQ35" s="122"/>
      <c r="AR35" s="122"/>
      <c r="AS35" s="122"/>
      <c r="AT35" s="614"/>
      <c r="AU35" s="1979"/>
      <c r="AV35" s="1979"/>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1586</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1587</v>
      </c>
      <c r="D36" s="1258" t="s">
        <v>1588</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1273</v>
      </c>
      <c r="AC36" s="312" t="s">
        <v>1589</v>
      </c>
      <c r="AD36" s="309" t="s">
        <v>485</v>
      </c>
      <c r="AE36" s="122"/>
      <c r="AF36" s="122"/>
      <c r="AG36" s="122"/>
      <c r="AH36" s="307">
        <f>AG36-AF36</f>
        <v>0</v>
      </c>
      <c r="AI36" s="122"/>
      <c r="AJ36" s="614"/>
      <c r="AK36" s="1979"/>
      <c r="AL36" s="1979"/>
      <c r="AM36" s="122"/>
      <c r="AN36" s="122"/>
      <c r="AO36" s="122"/>
      <c r="AP36" s="122"/>
      <c r="AQ36" s="122"/>
      <c r="AR36" s="122"/>
      <c r="AS36" s="122"/>
      <c r="AT36" s="614"/>
      <c r="AU36" s="1979"/>
      <c r="AV36" s="1979"/>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1590</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1591</v>
      </c>
      <c r="D37" s="1258" t="s">
        <v>1592</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1276</v>
      </c>
      <c r="AC37" s="129" t="s">
        <v>1593</v>
      </c>
      <c r="AD37" s="309" t="s">
        <v>799</v>
      </c>
      <c r="AE37" s="122"/>
      <c r="AF37" s="122"/>
      <c r="AG37" s="122"/>
      <c r="AH37" s="307">
        <f>AG37-AF37</f>
        <v>0</v>
      </c>
      <c r="AI37" s="122"/>
      <c r="AJ37" s="614"/>
      <c r="AK37" s="1979"/>
      <c r="AL37" s="1979"/>
      <c r="AM37" s="122"/>
      <c r="AN37" s="122"/>
      <c r="AO37" s="122"/>
      <c r="AP37" s="122"/>
      <c r="AQ37" s="122"/>
      <c r="AR37" s="122"/>
      <c r="AS37" s="122"/>
      <c r="AT37" s="614"/>
      <c r="AU37" s="1979"/>
      <c r="AV37" s="1979"/>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1594</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1595</v>
      </c>
      <c r="D38" s="1258" t="s">
        <v>1596</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1279</v>
      </c>
      <c r="AC38" s="129" t="s">
        <v>1597</v>
      </c>
      <c r="AD38" s="309" t="s">
        <v>799</v>
      </c>
      <c r="AE38" s="122"/>
      <c r="AF38" s="122"/>
      <c r="AG38" s="122"/>
      <c r="AH38" s="307">
        <f>AG38-AF38</f>
        <v>0</v>
      </c>
      <c r="AI38" s="122"/>
      <c r="AJ38" s="614"/>
      <c r="AK38" s="1979"/>
      <c r="AL38" s="1979"/>
      <c r="AM38" s="122"/>
      <c r="AN38" s="122"/>
      <c r="AO38" s="122"/>
      <c r="AP38" s="122"/>
      <c r="AQ38" s="122"/>
      <c r="AR38" s="122"/>
      <c r="AS38" s="122"/>
      <c r="AT38" s="614"/>
      <c r="AU38" s="1979"/>
      <c r="AV38" s="1979"/>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1598</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1599</v>
      </c>
      <c r="D39" s="1258" t="s">
        <v>1600</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1601</v>
      </c>
      <c r="AC39" s="130" t="s">
        <v>1602</v>
      </c>
      <c r="AD39" s="309" t="s">
        <v>485</v>
      </c>
      <c r="AE39" s="122"/>
      <c r="AF39" s="122"/>
      <c r="AG39" s="122"/>
      <c r="AH39" s="307">
        <f>AG39-AF39</f>
        <v>0</v>
      </c>
      <c r="AI39" s="122"/>
      <c r="AJ39" s="614"/>
      <c r="AK39" s="1979"/>
      <c r="AL39" s="1979"/>
      <c r="AM39" s="122"/>
      <c r="AN39" s="122"/>
      <c r="AO39" s="122"/>
      <c r="AP39" s="122"/>
      <c r="AQ39" s="122"/>
      <c r="AR39" s="122"/>
      <c r="AS39" s="122"/>
      <c r="AT39" s="614"/>
      <c r="AU39" s="1979"/>
      <c r="AV39" s="1979"/>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1603</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1604</v>
      </c>
      <c r="D40" s="1258" t="s">
        <v>1605</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1282</v>
      </c>
      <c r="AC40" s="129" t="s">
        <v>1606</v>
      </c>
      <c r="AD40" s="309" t="s">
        <v>485</v>
      </c>
      <c r="AE40" s="122"/>
      <c r="AF40" s="122"/>
      <c r="AG40" s="122"/>
      <c r="AH40" s="307">
        <f>AG40-AF40</f>
        <v>0</v>
      </c>
      <c r="AI40" s="122"/>
      <c r="AJ40" s="614"/>
      <c r="AK40" s="1979"/>
      <c r="AL40" s="1979"/>
      <c r="AM40" s="122"/>
      <c r="AN40" s="122"/>
      <c r="AO40" s="122"/>
      <c r="AP40" s="122"/>
      <c r="AQ40" s="122"/>
      <c r="AR40" s="122"/>
      <c r="AS40" s="122"/>
      <c r="AT40" s="614"/>
      <c r="AU40" s="1979"/>
      <c r="AV40" s="1979"/>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1607</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1608</v>
      </c>
      <c r="D41" s="1258" t="s">
        <v>1609</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1610</v>
      </c>
      <c r="AC41" s="130" t="s">
        <v>1611</v>
      </c>
      <c r="AD41" s="309" t="s">
        <v>485</v>
      </c>
      <c r="AE41" s="122"/>
      <c r="AF41" s="122"/>
      <c r="AG41" s="122"/>
      <c r="AH41" s="307">
        <f>AG41-AF41</f>
        <v>0</v>
      </c>
      <c r="AI41" s="122"/>
      <c r="AJ41" s="614"/>
      <c r="AK41" s="1979"/>
      <c r="AL41" s="1979"/>
      <c r="AM41" s="122"/>
      <c r="AN41" s="122"/>
      <c r="AO41" s="122"/>
      <c r="AP41" s="122"/>
      <c r="AQ41" s="122"/>
      <c r="AR41" s="122"/>
      <c r="AS41" s="122"/>
      <c r="AT41" s="614"/>
      <c r="AU41" s="1979"/>
      <c r="AV41" s="1979"/>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1612</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1613</v>
      </c>
      <c r="D42" s="1258" t="s">
        <v>1614</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1615</v>
      </c>
      <c r="AC42" s="130" t="s">
        <v>1616</v>
      </c>
      <c r="AD42" s="309" t="s">
        <v>485</v>
      </c>
      <c r="AE42" s="122"/>
      <c r="AF42" s="122"/>
      <c r="AG42" s="122"/>
      <c r="AH42" s="307">
        <f>AG42-AF42</f>
        <v>0</v>
      </c>
      <c r="AI42" s="122"/>
      <c r="AJ42" s="614"/>
      <c r="AK42" s="1979"/>
      <c r="AL42" s="1979"/>
      <c r="AM42" s="122"/>
      <c r="AN42" s="122"/>
      <c r="AO42" s="122"/>
      <c r="AP42" s="122"/>
      <c r="AQ42" s="122"/>
      <c r="AR42" s="122"/>
      <c r="AS42" s="122"/>
      <c r="AT42" s="614"/>
      <c r="AU42" s="1979"/>
      <c r="AV42" s="1979"/>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1617</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1618</v>
      </c>
      <c r="D43" s="1258" t="s">
        <v>1619</v>
      </c>
      <c r="E43" s="794">
        <v>17.1</v>
      </c>
      <c r="F43" s="920" cm="1" t="str">
        <f t="array" ref="F43:F43">OFFSET(G43,-1,-1)</f>
        <v>0</v>
      </c>
      <c r="G43" s="190" t="s">
        <v>1465</v>
      </c>
      <c r="M43" s="1282"/>
      <c r="N43" s="1282" cm="1" t="str">
        <f t="array" ref="N43:N43">OFFSET(M43,-1,1)</f>
        <v>0</v>
      </c>
      <c r="O43" s="1283"/>
      <c r="P43" s="1283"/>
      <c r="Q43" s="1283"/>
      <c r="R43" s="1283"/>
      <c r="T43" s="805">
        <f>AND(F43&gt;0,method_reg="Метод индексации")</f>
        <v>0</v>
      </c>
      <c r="AB43" s="157" t="s">
        <v>618</v>
      </c>
      <c r="AC43" s="610" t="s">
        <v>1467</v>
      </c>
      <c r="AD43" s="485" t="s">
        <v>986</v>
      </c>
      <c r="AE43" s="122">
        <f>AE44+AE45+AE46</f>
        <v>0</v>
      </c>
      <c r="AF43" s="122">
        <f>AF44+AF45+AF46</f>
        <v>0</v>
      </c>
      <c r="AG43" s="122">
        <f>AG44+AG45+AG46</f>
        <v>0</v>
      </c>
      <c r="AH43" s="307">
        <f>AG43-AF43</f>
        <v>0</v>
      </c>
      <c r="AI43" s="122">
        <f>AI44+AI45+AI46</f>
        <v>0</v>
      </c>
      <c r="AJ43" s="614">
        <f>AJ44+AJ45+AJ46</f>
        <v>0</v>
      </c>
      <c r="AK43" s="1979">
        <f>AK44+AK45+AK46</f>
        <v>0</v>
      </c>
      <c r="AL43" s="1979">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79">
        <f>AU44+AU45+AU46</f>
        <v>0</v>
      </c>
      <c r="AV43" s="1979">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1468</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1620</v>
      </c>
      <c r="D44" s="1258" t="s">
        <v>1621</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740</v>
      </c>
      <c r="AC44" s="1023" t="s">
        <v>1622</v>
      </c>
      <c r="AD44" s="485" t="s">
        <v>1368</v>
      </c>
      <c r="AE44" s="122"/>
      <c r="AF44" s="122"/>
      <c r="AG44" s="122"/>
      <c r="AH44" s="307">
        <f>AG44-AF44</f>
        <v>0</v>
      </c>
      <c r="AI44" s="122"/>
      <c r="AJ44" s="614"/>
      <c r="AK44" s="1979"/>
      <c r="AL44" s="1979"/>
      <c r="AM44" s="122"/>
      <c r="AN44" s="122"/>
      <c r="AO44" s="122"/>
      <c r="AP44" s="122"/>
      <c r="AQ44" s="122"/>
      <c r="AR44" s="122"/>
      <c r="AS44" s="122"/>
      <c r="AT44" s="614"/>
      <c r="AU44" s="1979"/>
      <c r="AV44" s="1979"/>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1623</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1624</v>
      </c>
      <c r="D45" s="1258" t="s">
        <v>1625</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1575</v>
      </c>
      <c r="AC45" s="610" t="s">
        <v>1626</v>
      </c>
      <c r="AD45" s="485" t="s">
        <v>1368</v>
      </c>
      <c r="AE45" s="122"/>
      <c r="AF45" s="122"/>
      <c r="AG45" s="122"/>
      <c r="AH45" s="307">
        <f>AG45-AF45</f>
        <v>0</v>
      </c>
      <c r="AI45" s="122"/>
      <c r="AJ45" s="614"/>
      <c r="AK45" s="1979"/>
      <c r="AL45" s="1979"/>
      <c r="AM45" s="122"/>
      <c r="AN45" s="122"/>
      <c r="AO45" s="122"/>
      <c r="AP45" s="122"/>
      <c r="AQ45" s="122"/>
      <c r="AR45" s="122"/>
      <c r="AS45" s="122"/>
      <c r="AT45" s="614"/>
      <c r="AU45" s="1979"/>
      <c r="AV45" s="1979"/>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1627</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1628</v>
      </c>
      <c r="D46" s="1258" t="s">
        <v>1629</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1630</v>
      </c>
      <c r="AC46" s="610" t="s">
        <v>1631</v>
      </c>
      <c r="AD46" s="485" t="s">
        <v>1368</v>
      </c>
      <c r="AE46" s="122"/>
      <c r="AF46" s="122"/>
      <c r="AG46" s="122"/>
      <c r="AH46" s="307">
        <f>AG46-AF46</f>
        <v>0</v>
      </c>
      <c r="AI46" s="122"/>
      <c r="AJ46" s="614"/>
      <c r="AK46" s="1979"/>
      <c r="AL46" s="1979"/>
      <c r="AM46" s="122"/>
      <c r="AN46" s="122"/>
      <c r="AO46" s="122"/>
      <c r="AP46" s="122"/>
      <c r="AQ46" s="122"/>
      <c r="AR46" s="122"/>
      <c r="AS46" s="122"/>
      <c r="AT46" s="614"/>
      <c r="AU46" s="1979"/>
      <c r="AV46" s="1979"/>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1632</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1633</v>
      </c>
      <c r="D47" s="1258" t="s">
        <v>1634</v>
      </c>
      <c r="E47" s="794">
        <v>15</v>
      </c>
      <c r="F47" s="920" cm="1" t="str">
        <f t="array" ref="F47:F47">OFFSET(G47,-1,-1)</f>
        <v>0</v>
      </c>
      <c r="G47" s="190" t="s">
        <v>1472</v>
      </c>
      <c r="M47" s="1282"/>
      <c r="N47" s="1282" cm="1" t="str">
        <f t="array" ref="N47:N47">OFFSET(M47,-1,1)</f>
        <v>0</v>
      </c>
      <c r="O47" s="1283"/>
      <c r="P47" s="1283"/>
      <c r="Q47" s="1283"/>
      <c r="R47" s="1283"/>
      <c r="T47" s="805">
        <f>AND(F47&gt;0,method_reg="Метод индексации")</f>
        <v>0</v>
      </c>
      <c r="AB47" s="157" t="s">
        <v>623</v>
      </c>
      <c r="AC47" s="610" t="s">
        <v>1474</v>
      </c>
      <c r="AD47" s="485" t="s">
        <v>986</v>
      </c>
      <c r="AE47" s="122"/>
      <c r="AF47" s="122"/>
      <c r="AG47" s="122"/>
      <c r="AH47" s="307">
        <f>AG47-AF47</f>
        <v>0</v>
      </c>
      <c r="AI47" s="122"/>
      <c r="AJ47" s="614"/>
      <c r="AK47" s="1979"/>
      <c r="AL47" s="1979"/>
      <c r="AM47" s="122"/>
      <c r="AN47" s="122"/>
      <c r="AO47" s="122"/>
      <c r="AP47" s="122"/>
      <c r="AQ47" s="122"/>
      <c r="AR47" s="122"/>
      <c r="AS47" s="122"/>
      <c r="AT47" s="614"/>
      <c r="AU47" s="1979"/>
      <c r="AV47" s="1979"/>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1635</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1636</v>
      </c>
      <c r="D48" s="1258" t="s">
        <v>1637</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745</v>
      </c>
      <c r="AC48" s="162" t="s">
        <v>1470</v>
      </c>
      <c r="AD48" s="485" t="s">
        <v>485</v>
      </c>
      <c r="AE48" s="118"/>
      <c r="AF48" s="118"/>
      <c r="AG48" s="118"/>
      <c r="AH48" s="307">
        <f>AG48-AF48</f>
        <v>0</v>
      </c>
      <c r="AI48" s="118"/>
      <c r="AJ48" s="1133"/>
      <c r="AK48" s="1959"/>
      <c r="AL48" s="1959"/>
      <c r="AM48" s="118"/>
      <c r="AN48" s="118"/>
      <c r="AO48" s="118"/>
      <c r="AP48" s="118"/>
      <c r="AQ48" s="118"/>
      <c r="AR48" s="118"/>
      <c r="AS48" s="118"/>
      <c r="AT48" s="1133"/>
      <c r="AU48" s="1959"/>
      <c r="AV48" s="1959"/>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1638</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1639</v>
      </c>
      <c r="D49" s="1258" t="s">
        <v>1640</v>
      </c>
      <c r="E49" s="794">
        <v>29.3</v>
      </c>
      <c r="F49" s="920" cm="1" t="str">
        <f t="array" ref="F49:F49">OFFSET(G49,-1,-1)</f>
        <v>0</v>
      </c>
      <c r="G49" s="190">
        <v>6</v>
      </c>
      <c r="M49" s="1282"/>
      <c r="N49" s="1282" cm="1" t="str">
        <f t="array" ref="N49:N49">OFFSET(M49,-1,1)</f>
        <v>0</v>
      </c>
      <c r="O49" s="1283"/>
      <c r="P49" s="1283"/>
      <c r="Q49" s="1283"/>
      <c r="R49" s="1283"/>
      <c r="T49" s="805">
        <f>F49&gt;0</f>
        <v>0</v>
      </c>
      <c r="AB49" s="157" t="s">
        <v>626</v>
      </c>
      <c r="AC49" s="610" t="s">
        <v>1477</v>
      </c>
      <c r="AD49" s="485" t="s">
        <v>986</v>
      </c>
      <c r="AE49" s="122"/>
      <c r="AF49" s="122"/>
      <c r="AG49" s="122"/>
      <c r="AH49" s="307">
        <f>AG49-AF49</f>
        <v>0</v>
      </c>
      <c r="AI49" s="122"/>
      <c r="AJ49" s="614"/>
      <c r="AK49" s="1979"/>
      <c r="AL49" s="1979"/>
      <c r="AM49" s="122"/>
      <c r="AN49" s="122"/>
      <c r="AO49" s="122"/>
      <c r="AP49" s="122"/>
      <c r="AQ49" s="122"/>
      <c r="AR49" s="122"/>
      <c r="AS49" s="122"/>
      <c r="AT49" s="614"/>
      <c r="AU49" s="1979"/>
      <c r="AV49" s="1979"/>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1641</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1642</v>
      </c>
      <c r="D50" s="1258" t="s">
        <v>1643</v>
      </c>
      <c r="E50" s="794">
        <v>29.3</v>
      </c>
      <c r="F50" s="920" cm="1" t="str">
        <f t="array" ref="F50:F50">OFFSET(G50,-1,-1)</f>
        <v>0</v>
      </c>
      <c r="G50" s="190" t="s">
        <v>1504</v>
      </c>
      <c r="M50" s="1282"/>
      <c r="N50" s="1282" cm="1" t="str">
        <f t="array" ref="N50:N50">OFFSET(M50,-1,1)</f>
        <v>0</v>
      </c>
      <c r="O50" s="1283"/>
      <c r="P50" s="1283"/>
      <c r="Q50" s="1283"/>
      <c r="R50" s="1283"/>
      <c r="T50" s="805" cm="1" t="str">
        <f t="array" ref="T50:T50">T49</f>
        <v>false</v>
      </c>
      <c r="AB50" s="157" t="s">
        <v>645</v>
      </c>
      <c r="AC50" s="738" t="s">
        <v>1644</v>
      </c>
      <c r="AD50" s="485" t="s">
        <v>986</v>
      </c>
      <c r="AE50" s="122"/>
      <c r="AF50" s="122"/>
      <c r="AG50" s="122"/>
      <c r="AH50" s="307">
        <f>AG50-AF50</f>
        <v>0</v>
      </c>
      <c r="AI50" s="122"/>
      <c r="AJ50" s="614">
        <f>_xlfn.SUMIFS('Корр Факт'!AH$27:AH$122,'Корр Факт'!$F$27:$F$122,$F50,'Корр Факт'!$G$27:$G$122,$G50)</f>
        <v>0</v>
      </c>
      <c r="AK50" s="1979"/>
      <c r="AL50" s="1979"/>
      <c r="AM50" s="122"/>
      <c r="AN50" s="122"/>
      <c r="AO50" s="122"/>
      <c r="AP50" s="122"/>
      <c r="AQ50" s="122"/>
      <c r="AR50" s="122"/>
      <c r="AS50" s="122"/>
      <c r="AT50" s="614">
        <f>_xlfn.SUMIFS('Корр Факт'!AN$27:AN$122,'Корр Факт'!$F$27:$F$122,$F50,'Корр Факт'!$G$27:$G$122,$G50)</f>
        <v>0</v>
      </c>
      <c r="AU50" s="1979"/>
      <c r="AV50" s="1979"/>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1645</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1646</v>
      </c>
      <c r="D51" s="1258" t="s">
        <v>1647</v>
      </c>
      <c r="E51" s="794">
        <v>66</v>
      </c>
      <c r="F51" s="920" cm="1" t="str">
        <f t="array" ref="F51:F51">OFFSET(G51,-1,-1)</f>
        <v>0</v>
      </c>
      <c r="M51" s="1282"/>
      <c r="N51" s="1282" cm="1" t="str">
        <f t="array" ref="N51:N51">OFFSET(M51,-1,1)</f>
        <v>0</v>
      </c>
      <c r="O51" s="1284"/>
      <c r="P51" s="1284"/>
      <c r="Q51" s="1284"/>
      <c r="R51" s="1284"/>
      <c r="T51" s="805" cm="1" t="str">
        <f t="array" ref="T51:T51">T50</f>
        <v>false</v>
      </c>
      <c r="AB51" s="157" t="s">
        <v>650</v>
      </c>
      <c r="AC51" s="610" t="s">
        <v>1648</v>
      </c>
      <c r="AD51" s="485" t="s">
        <v>986</v>
      </c>
      <c r="AE51" s="122"/>
      <c r="AF51" s="122"/>
      <c r="AG51" s="122"/>
      <c r="AH51" s="307">
        <f>AG51-AF51</f>
        <v>0</v>
      </c>
      <c r="AI51" s="122"/>
      <c r="AJ51" s="614"/>
      <c r="AK51" s="1979"/>
      <c r="AL51" s="1979"/>
      <c r="AM51" s="122"/>
      <c r="AN51" s="122"/>
      <c r="AO51" s="122"/>
      <c r="AP51" s="122"/>
      <c r="AQ51" s="122"/>
      <c r="AR51" s="122"/>
      <c r="AS51" s="122"/>
      <c r="AT51" s="614"/>
      <c r="AU51" s="1979"/>
      <c r="AV51" s="1979"/>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1481</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1649</v>
      </c>
      <c r="D52" s="1258" t="s">
        <v>1650</v>
      </c>
      <c r="E52" s="794">
        <v>33.8</v>
      </c>
      <c r="F52" s="920" cm="1" t="str">
        <f t="array" ref="F52:F52">OFFSET(G52,-1,-1)</f>
        <v>0</v>
      </c>
      <c r="M52" s="1282"/>
      <c r="N52" s="1282" cm="1" t="str">
        <f t="array" ref="N52:N52">OFFSET(M52,-1,1)</f>
        <v>0</v>
      </c>
      <c r="O52" s="1284"/>
      <c r="P52" s="1284"/>
      <c r="Q52" s="1284"/>
      <c r="R52" s="1284"/>
      <c r="T52" s="805" cm="1" t="str">
        <f t="array" ref="T52:T52">T51</f>
        <v>false</v>
      </c>
      <c r="AB52" s="157" t="s">
        <v>658</v>
      </c>
      <c r="AC52" s="610" t="s">
        <v>1651</v>
      </c>
      <c r="AD52" s="485" t="s">
        <v>986</v>
      </c>
      <c r="AE52" s="122"/>
      <c r="AF52" s="122"/>
      <c r="AG52" s="122"/>
      <c r="AH52" s="307">
        <f>AG52-AF52</f>
        <v>0</v>
      </c>
      <c r="AI52" s="122"/>
      <c r="AJ52" s="614"/>
      <c r="AK52" s="1979"/>
      <c r="AL52" s="1979"/>
      <c r="AM52" s="122"/>
      <c r="AN52" s="122"/>
      <c r="AO52" s="122"/>
      <c r="AP52" s="122"/>
      <c r="AQ52" s="122"/>
      <c r="AR52" s="122"/>
      <c r="AS52" s="122"/>
      <c r="AT52" s="614"/>
      <c r="AU52" s="1979"/>
      <c r="AV52" s="1979"/>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1652</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1653</v>
      </c>
      <c r="D53" s="1258" t="s">
        <v>1654</v>
      </c>
      <c r="E53" s="794">
        <v>63.8</v>
      </c>
      <c r="F53" s="920" cm="1" t="str">
        <f t="array" ref="F53:F53">OFFSET(G53,-1,-1)</f>
        <v>0</v>
      </c>
      <c r="M53" s="1282"/>
      <c r="N53" s="1282" cm="1" t="str">
        <f t="array" ref="N53:N53">OFFSET(M53,-1,1)</f>
        <v>0</v>
      </c>
      <c r="O53" s="1283"/>
      <c r="P53" s="1283"/>
      <c r="Q53" s="1283"/>
      <c r="R53" s="1283"/>
      <c r="T53" s="805" cm="1" t="str">
        <f t="array" ref="T53:T53">T52</f>
        <v>false</v>
      </c>
      <c r="AB53" s="639" t="s">
        <v>682</v>
      </c>
      <c r="AC53" s="641" t="s">
        <v>1655</v>
      </c>
      <c r="AD53" s="496" t="s">
        <v>986</v>
      </c>
      <c r="AE53" s="131"/>
      <c r="AF53" s="122"/>
      <c r="AG53" s="122"/>
      <c r="AH53" s="307">
        <f>AG53-AF53</f>
        <v>0</v>
      </c>
      <c r="AI53" s="122"/>
      <c r="AJ53" s="614"/>
      <c r="AK53" s="1979"/>
      <c r="AL53" s="1979"/>
      <c r="AM53" s="122"/>
      <c r="AN53" s="122"/>
      <c r="AO53" s="122"/>
      <c r="AP53" s="122"/>
      <c r="AQ53" s="122"/>
      <c r="AR53" s="122"/>
      <c r="AS53" s="122"/>
      <c r="AT53" s="614"/>
      <c r="AU53" s="1979"/>
      <c r="AV53" s="1979"/>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1656</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1657</v>
      </c>
      <c r="D54" s="1258" t="s">
        <v>1658</v>
      </c>
      <c r="E54" s="794">
        <v>17.1</v>
      </c>
      <c r="F54" s="920" cm="1" t="str">
        <f t="array" ref="F54:F54">OFFSET(G54,-1,-1)</f>
        <v>0</v>
      </c>
      <c r="M54" s="1282"/>
      <c r="N54" s="1282" cm="1" t="str">
        <f t="array" ref="N54:N54">OFFSET(M54,-1,1)</f>
        <v>0</v>
      </c>
      <c r="O54" s="1283"/>
      <c r="P54" s="1283"/>
      <c r="Q54" s="1283"/>
      <c r="R54" s="1283"/>
      <c r="T54" s="805" cm="1" t="str">
        <f t="array" ref="T54:T54">T53</f>
        <v>false</v>
      </c>
      <c r="AB54" s="157" t="s">
        <v>690</v>
      </c>
      <c r="AC54" s="610" t="s">
        <v>1659</v>
      </c>
      <c r="AD54" s="651" t="s">
        <v>986</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1233</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1657</v>
      </c>
      <c r="D56" s="1258" t="s">
        <v>1658</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235</v>
      </c>
      <c r="Y56" s="172">
        <v>0</v>
      </c>
      <c r="AA56" s="1121" t="s">
        <v>219</v>
      </c>
      <c r="AB56" s="639" t="str">
        <f>"11."&amp;Y56</f>
        <v>11.0</v>
      </c>
      <c r="AC56" s="133"/>
      <c r="AD56" s="651" t="s">
        <v>986</v>
      </c>
      <c r="AE56" s="122"/>
      <c r="AF56" s="122"/>
      <c r="AG56" s="134"/>
      <c r="AH56" s="307">
        <f>AG56-AF56</f>
        <v>0</v>
      </c>
      <c r="AI56" s="135"/>
      <c r="AJ56" s="614"/>
      <c r="AK56" s="1979"/>
      <c r="AL56" s="1979"/>
      <c r="AM56" s="122"/>
      <c r="AN56" s="122"/>
      <c r="AO56" s="122"/>
      <c r="AP56" s="122"/>
      <c r="AQ56" s="122"/>
      <c r="AR56" s="122"/>
      <c r="AS56" s="122"/>
      <c r="AT56" s="614"/>
      <c r="AU56" s="1979"/>
      <c r="AV56" s="1979"/>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1233</v>
      </c>
      <c r="BT56" s="1233" t="s">
        <v>1163</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1660</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1163</v>
      </c>
      <c r="BW57" s="1247"/>
      <c r="BX57" s="1269"/>
    </row>
    <row customHeight="1" ht="14.625" hidden="1">
      <c r="C58" s="1299" t="s">
        <v>1661</v>
      </c>
      <c r="D58" s="1258" t="s">
        <v>1662</v>
      </c>
      <c r="E58" s="794">
        <v>15</v>
      </c>
      <c r="F58" s="920" cm="1" t="str">
        <f t="array" ref="F58:F58">OFFSET(G58,-1,-1)</f>
        <v>0</v>
      </c>
      <c r="M58" s="1282"/>
      <c r="N58" s="1282" cm="1" t="str">
        <f t="array" ref="N58:N58">OFFSET(M58,-1,1)</f>
        <v>0</v>
      </c>
      <c r="O58" s="1283"/>
      <c r="P58" s="1283"/>
      <c r="Q58" s="1283"/>
      <c r="R58" s="1283"/>
      <c r="T58" s="805" cm="1" t="str">
        <f t="array" ref="T58:T58">T57</f>
        <v>false</v>
      </c>
      <c r="AB58" s="646" t="s">
        <v>1663</v>
      </c>
      <c r="AC58" s="647" t="s">
        <v>1664</v>
      </c>
      <c r="AD58" s="661" t="s">
        <v>986</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1665</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1666</v>
      </c>
      <c r="D59" s="1258" t="s">
        <v>1667</v>
      </c>
      <c r="E59" s="794">
        <v>50</v>
      </c>
      <c r="F59" s="920" cm="1" t="str">
        <f t="array" ref="F59:F59">OFFSET(G59,-1,-1)</f>
        <v>0</v>
      </c>
      <c r="M59" s="1282"/>
      <c r="N59" s="1282" cm="1" t="str">
        <f t="array" ref="N59:N59">OFFSET(M59,-1,1)</f>
        <v>0</v>
      </c>
      <c r="O59" s="1283"/>
      <c r="P59" s="1283"/>
      <c r="Q59" s="1283"/>
      <c r="R59" s="1283"/>
      <c r="T59" s="805" cm="1" t="str">
        <f t="array" ref="T59:T59">T58</f>
        <v>false</v>
      </c>
      <c r="AB59" s="640" t="s">
        <v>1668</v>
      </c>
      <c r="AC59" s="1084" t="s">
        <v>1666</v>
      </c>
      <c r="AD59" s="651" t="s">
        <v>986</v>
      </c>
      <c r="AE59" s="136"/>
      <c r="AF59" s="136"/>
      <c r="AG59" s="136"/>
      <c r="AH59" s="307">
        <f>AG59-AF59</f>
        <v>0</v>
      </c>
      <c r="AI59" s="136"/>
      <c r="AJ59" s="665"/>
      <c r="AK59" s="2006"/>
      <c r="AL59" s="2006"/>
      <c r="AM59" s="136"/>
      <c r="AN59" s="136"/>
      <c r="AO59" s="136"/>
      <c r="AP59" s="136"/>
      <c r="AQ59" s="136"/>
      <c r="AR59" s="136"/>
      <c r="AS59" s="136"/>
      <c r="AT59" s="665"/>
      <c r="AU59" s="2006"/>
      <c r="AV59" s="2006"/>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1669</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1670</v>
      </c>
      <c r="D60" s="1258" t="s">
        <v>1671</v>
      </c>
      <c r="E60" s="794">
        <v>15</v>
      </c>
      <c r="F60" s="920" cm="1" t="str">
        <f t="array" ref="F60:F60">OFFSET(G60,-1,-1)</f>
        <v>0</v>
      </c>
      <c r="G60" s="190" t="s">
        <v>1672</v>
      </c>
      <c r="M60" s="1282"/>
      <c r="N60" s="1282" cm="1" t="str">
        <f t="array" ref="N60:N60">OFFSET(M60,-1,1)</f>
        <v>0</v>
      </c>
      <c r="O60" s="1287"/>
      <c r="P60" s="1283"/>
      <c r="Q60" s="1283"/>
      <c r="R60" s="1287"/>
      <c r="T60" s="805" cm="1" t="str">
        <f t="array" ref="T60:T60">T59</f>
        <v>false</v>
      </c>
      <c r="AB60" s="646" t="s">
        <v>1673</v>
      </c>
      <c r="AC60" s="1071" t="s">
        <v>1674</v>
      </c>
      <c r="AD60" s="651" t="s">
        <v>986</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1675</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1676</v>
      </c>
      <c r="D61" s="1258" t="s">
        <v>1677</v>
      </c>
      <c r="E61" s="794">
        <v>15</v>
      </c>
      <c r="F61" s="920" cm="1" t="str">
        <f t="array" ref="F61:F61">OFFSET(G61,-1,-1)</f>
        <v>0</v>
      </c>
      <c r="G61" s="190" t="s">
        <v>930</v>
      </c>
      <c r="L61" s="190" t="s">
        <v>1678</v>
      </c>
      <c r="M61" s="1282"/>
      <c r="N61" s="1282" cm="1" t="str">
        <f t="array" ref="N61:N61">OFFSET(M61,-1,1)</f>
        <v>0</v>
      </c>
      <c r="O61" s="1287"/>
      <c r="P61" s="1283"/>
      <c r="Q61" s="1283"/>
      <c r="R61" s="1287"/>
      <c r="T61" s="805">
        <f>AND(F61&gt;0,G27="двухставочный")</f>
        <v>0</v>
      </c>
      <c r="AB61" s="660" t="str">
        <f>AB60&amp;".1"</f>
        <v>14.1</v>
      </c>
      <c r="AC61" s="616" t="s">
        <v>1679</v>
      </c>
      <c r="AD61" s="309" t="s">
        <v>799</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79">
        <f>_xlfn.SUMIFS('Ресурсы (5.4)'!AK$26:AK$47,'Ресурсы (5.4)'!$F$26:$F$47,$F61,'Ресурсы (5.4)'!$AB$26:$AB$47,"6.1")</f>
        <v>0</v>
      </c>
      <c r="AL61" s="1979">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79">
        <f>_xlfn.SUMIFS('Ресурсы (5.4)'!AU$26:AU$47,'Ресурсы (5.4)'!$F$26:$F$47,$F61,'Ресурсы (5.4)'!$AB$26:$AB$47,"6.1")</f>
        <v>0</v>
      </c>
      <c r="AV61" s="1979">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1680</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1681</v>
      </c>
      <c r="D62" s="1258" t="s">
        <v>1682</v>
      </c>
      <c r="E62" s="794">
        <v>15</v>
      </c>
      <c r="F62" s="920" cm="1" t="str">
        <f t="array" ref="F62:F62">OFFSET(G62,-1,-1)</f>
        <v>0</v>
      </c>
      <c r="L62" s="190" t="s">
        <v>1678</v>
      </c>
      <c r="M62" s="1282"/>
      <c r="N62" s="1282" cm="1" t="str">
        <f t="array" ref="N62:N62">OFFSET(M62,-1,1)</f>
        <v>0</v>
      </c>
      <c r="O62" s="1287"/>
      <c r="P62" s="1283"/>
      <c r="Q62" s="1283"/>
      <c r="R62" s="1287"/>
      <c r="T62" s="805" cm="1" t="str">
        <f t="array" ref="T62:T62">T61</f>
        <v>false</v>
      </c>
      <c r="AB62" s="660" t="str">
        <f>AB60&amp;".2"</f>
        <v>14.2</v>
      </c>
      <c r="AC62" s="616" t="s">
        <v>1681</v>
      </c>
      <c r="AD62" s="309" t="s">
        <v>799</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1683</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1684</v>
      </c>
      <c r="D63" s="1258" t="s">
        <v>1685</v>
      </c>
      <c r="E63" s="794">
        <v>15</v>
      </c>
      <c r="F63" s="920" cm="1" t="str">
        <f t="array" ref="F63:F63">OFFSET(G63,-1,-1)</f>
        <v>0</v>
      </c>
      <c r="M63" s="1282"/>
      <c r="N63" s="1282" cm="1" t="str">
        <f t="array" ref="N63:N63">OFFSET(M63,-1,1)</f>
        <v>0</v>
      </c>
      <c r="O63" s="1283"/>
      <c r="P63" s="1283"/>
      <c r="Q63" s="1283"/>
      <c r="R63" s="1283"/>
      <c r="T63" s="805" cm="1" t="str">
        <f t="array" ref="T63:T63">T60</f>
        <v>false</v>
      </c>
      <c r="AB63" s="314" t="s">
        <v>1686</v>
      </c>
      <c r="AC63" s="310" t="s">
        <v>1687</v>
      </c>
      <c r="AD63" s="315" t="s">
        <v>586</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1688</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1689</v>
      </c>
      <c r="D64" s="1258" t="s">
        <v>1690</v>
      </c>
      <c r="E64" s="794">
        <v>15</v>
      </c>
      <c r="F64" s="920" cm="1" t="str">
        <f t="array" ref="F64:F64">OFFSET(G64,-1,-1)</f>
        <v>0</v>
      </c>
      <c r="G64" s="190" t="s">
        <v>1691</v>
      </c>
      <c r="M64" s="1282"/>
      <c r="N64" s="1282" cm="1" t="str">
        <f t="array" ref="N64:N64">OFFSET(M64,-1,1)</f>
        <v>0</v>
      </c>
      <c r="O64" s="1283" t="s">
        <v>1692</v>
      </c>
      <c r="P64" s="1283"/>
      <c r="Q64" s="1283"/>
      <c r="R64" s="1283"/>
      <c r="T64" s="805" cm="1" t="str">
        <f t="array" ref="T64:T64">T63</f>
        <v>false</v>
      </c>
      <c r="AB64" s="660" t="str">
        <f>AB63&amp;".1"</f>
        <v>15.1</v>
      </c>
      <c r="AC64" s="286" t="s">
        <v>1693</v>
      </c>
      <c r="AD64" s="309" t="s">
        <v>586</v>
      </c>
      <c r="AE64" s="122"/>
      <c r="AF64" s="613"/>
      <c r="AG64" s="613"/>
      <c r="AH64" s="613"/>
      <c r="AI64" s="122"/>
      <c r="AJ64" s="614"/>
      <c r="AK64" s="1979"/>
      <c r="AL64" s="1979"/>
      <c r="AM64" s="122"/>
      <c r="AN64" s="122"/>
      <c r="AO64" s="122"/>
      <c r="AP64" s="122"/>
      <c r="AQ64" s="122"/>
      <c r="AR64" s="122"/>
      <c r="AS64" s="122"/>
      <c r="AT64" s="614"/>
      <c r="AU64" s="1979"/>
      <c r="AV64" s="1979"/>
      <c r="AW64" s="122"/>
      <c r="AX64" s="122"/>
      <c r="AY64" s="122"/>
      <c r="AZ64" s="122"/>
      <c r="BA64" s="122"/>
      <c r="BB64" s="122"/>
      <c r="BC64" s="122"/>
      <c r="BD64" s="374"/>
      <c r="BE64" s="374"/>
      <c r="BF64" s="374"/>
      <c r="BG64" s="374"/>
      <c r="BH64" s="374"/>
      <c r="BI64" s="374"/>
      <c r="BJ64" s="374"/>
      <c r="BK64" s="374"/>
      <c r="BL64" s="374"/>
      <c r="BM64" s="374"/>
      <c r="BN64" s="74"/>
      <c r="BO64" s="74"/>
      <c r="BP64" s="74"/>
      <c r="BS64" s="1233" t="s">
        <v>1694</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1695</v>
      </c>
      <c r="D65" s="1258" t="s">
        <v>1696</v>
      </c>
      <c r="E65" s="794">
        <v>15</v>
      </c>
      <c r="F65" s="920" cm="1" t="str">
        <f t="array" ref="F65:F65">OFFSET(G65,-1,-1)</f>
        <v>0</v>
      </c>
      <c r="G65" s="190" t="s">
        <v>1697</v>
      </c>
      <c r="M65" s="1282"/>
      <c r="N65" s="1282" cm="1" t="str">
        <f t="array" ref="N65:N65">OFFSET(M65,-1,1)</f>
        <v>0</v>
      </c>
      <c r="O65" s="1283" t="s">
        <v>1692</v>
      </c>
      <c r="P65" s="1283"/>
      <c r="Q65" s="1283"/>
      <c r="R65" s="1283"/>
      <c r="T65" s="805" cm="1" t="str">
        <f t="array" ref="T65:T65">T64</f>
        <v>false</v>
      </c>
      <c r="AB65" s="660" t="str">
        <f>AB63&amp;".2"</f>
        <v>15.2</v>
      </c>
      <c r="AC65" s="286" t="s">
        <v>1698</v>
      </c>
      <c r="AD65" s="309" t="s">
        <v>889</v>
      </c>
      <c r="AE65" s="122"/>
      <c r="AF65" s="613"/>
      <c r="AG65" s="613"/>
      <c r="AH65" s="613"/>
      <c r="AI65" s="122">
        <f>MIN(AE67,AI69)</f>
        <v>0</v>
      </c>
      <c r="AJ65" s="614">
        <f>MIN(AI67,AJ69)</f>
        <v>0</v>
      </c>
      <c r="AK65" s="1979">
        <f>MIN(AJ67,AK69)</f>
        <v>0</v>
      </c>
      <c r="AL65" s="1979">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79">
        <f>MIN(AT67,AU69)</f>
        <v>0</v>
      </c>
      <c r="AV65" s="1979">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1699</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1689</v>
      </c>
      <c r="D66" s="1258" t="s">
        <v>1690</v>
      </c>
      <c r="E66" s="794">
        <v>15</v>
      </c>
      <c r="F66" s="920" cm="1" t="str">
        <f t="array" ref="F66:F66">OFFSET(G66,-1,-1)</f>
        <v>0</v>
      </c>
      <c r="G66" s="190" t="s">
        <v>1700</v>
      </c>
      <c r="M66" s="1282"/>
      <c r="N66" s="1282" cm="1" t="str">
        <f t="array" ref="N66:N66">OFFSET(M66,-1,1)</f>
        <v>0</v>
      </c>
      <c r="O66" s="1283" t="s">
        <v>1701</v>
      </c>
      <c r="P66" s="1283"/>
      <c r="Q66" s="1283"/>
      <c r="R66" s="1283"/>
      <c r="T66" s="805" cm="1" t="str">
        <f t="array" ref="T66:T66">T65</f>
        <v>false</v>
      </c>
      <c r="AB66" s="660" t="str">
        <f>AB63&amp;".3"</f>
        <v>15.3</v>
      </c>
      <c r="AC66" s="286" t="s">
        <v>1702</v>
      </c>
      <c r="AD66" s="309" t="s">
        <v>586</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1703</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1695</v>
      </c>
      <c r="D67" s="1258" t="s">
        <v>1696</v>
      </c>
      <c r="E67" s="794">
        <v>15</v>
      </c>
      <c r="F67" s="920" cm="1" t="str">
        <f t="array" ref="F67:F67">OFFSET(G67,-1,-1)</f>
        <v>0</v>
      </c>
      <c r="G67" s="190" t="s">
        <v>1704</v>
      </c>
      <c r="M67" s="1282"/>
      <c r="N67" s="1282" cm="1" t="str">
        <f t="array" ref="N67:N67">OFFSET(M67,-1,1)</f>
        <v>0</v>
      </c>
      <c r="O67" s="1283" t="s">
        <v>1701</v>
      </c>
      <c r="P67" s="1283"/>
      <c r="Q67" s="1283"/>
      <c r="R67" s="1283"/>
      <c r="T67" s="805" cm="1" t="str">
        <f t="array" ref="T67:T67">T66</f>
        <v>false</v>
      </c>
      <c r="AB67" s="660" t="str">
        <f>AB63&amp;".4"</f>
        <v>15.4</v>
      </c>
      <c r="AC67" s="286" t="s">
        <v>1705</v>
      </c>
      <c r="AD67" s="309" t="s">
        <v>889</v>
      </c>
      <c r="AE67" s="122"/>
      <c r="AF67" s="613"/>
      <c r="AG67" s="613"/>
      <c r="AH67" s="613"/>
      <c r="AI67" s="122"/>
      <c r="AJ67" s="614">
        <f>_xlfn.IFERROR((AJ60*1000-AJ64*AJ65)/AJ66,0)</f>
        <v>0</v>
      </c>
      <c r="AK67" s="1979">
        <f>_xlfn.IFERROR((AK60*1000-AK64*AK65)/AK66,0)</f>
        <v>0</v>
      </c>
      <c r="AL67" s="1979">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79">
        <f>_xlfn.IFERROR((AU60*1000-AU64*AU65)/AU66,0)</f>
        <v>0</v>
      </c>
      <c r="AV67" s="1979">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1706</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1707</v>
      </c>
      <c r="D68" s="1258" t="s">
        <v>1708</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1709</v>
      </c>
      <c r="AD68" s="309" t="s">
        <v>485</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1710</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1711</v>
      </c>
      <c r="D69" s="1258" t="s">
        <v>1712</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1713</v>
      </c>
      <c r="AD69" s="309" t="s">
        <v>889</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1714</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1715</v>
      </c>
      <c r="D70" s="1258" t="s">
        <v>1716</v>
      </c>
      <c r="E70" s="794">
        <v>15</v>
      </c>
      <c r="F70" s="920" cm="1" t="str">
        <f t="array" ref="F70:F70">OFFSET(G70,-1,-1)</f>
        <v>0</v>
      </c>
      <c r="L70" s="190" t="s">
        <v>1678</v>
      </c>
      <c r="M70" s="1282"/>
      <c r="N70" s="1282" cm="1" t="str">
        <f t="array" ref="N70:N70">OFFSET(M70,-1,1)</f>
        <v>0</v>
      </c>
      <c r="O70" s="1283"/>
      <c r="P70" s="1283"/>
      <c r="Q70" s="1283"/>
      <c r="R70" s="1283"/>
      <c r="T70" s="805" cm="1" t="str">
        <f t="array" ref="T70:T70">T61</f>
        <v>false</v>
      </c>
      <c r="AB70" s="314" t="s">
        <v>1717</v>
      </c>
      <c r="AC70" s="887" t="s">
        <v>1718</v>
      </c>
      <c r="AD70" s="664" t="s">
        <v>684</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685</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1715</v>
      </c>
      <c r="D71" s="1258" t="s">
        <v>1716</v>
      </c>
      <c r="E71" s="794">
        <v>15</v>
      </c>
      <c r="F71" s="920" cm="1" t="str">
        <f t="array" ref="F71:F71">OFFSET(G71,-1,-1)</f>
        <v>0</v>
      </c>
      <c r="G71" s="190" t="s">
        <v>1719</v>
      </c>
      <c r="L71" s="190" t="s">
        <v>1678</v>
      </c>
      <c r="M71" s="1282"/>
      <c r="N71" s="1282" cm="1" t="str">
        <f t="array" ref="N71:N71">OFFSET(M71,-1,1)</f>
        <v>0</v>
      </c>
      <c r="O71" s="1283" t="s">
        <v>1692</v>
      </c>
      <c r="P71" s="1283"/>
      <c r="Q71" s="1283"/>
      <c r="R71" s="1283"/>
      <c r="T71" s="805" cm="1" t="str">
        <f t="array" ref="T71:T71">T70</f>
        <v>false</v>
      </c>
      <c r="AB71" s="660" t="str">
        <f>AB70&amp;".1"</f>
        <v>16.1</v>
      </c>
      <c r="AC71" s="720" t="s">
        <v>1720</v>
      </c>
      <c r="AD71" s="620" t="s">
        <v>684</v>
      </c>
      <c r="AE71" s="122" cm="1" t="str">
        <f t="array" ref="AE71:AE71">AE70</f>
        <v>0</v>
      </c>
      <c r="AF71" s="613"/>
      <c r="AG71" s="613"/>
      <c r="AH71" s="613"/>
      <c r="AI71" s="122" cm="1" t="str">
        <f t="array" ref="AI71:AI71">AI70</f>
        <v>0</v>
      </c>
      <c r="AJ71" s="614" cm="1" t="str">
        <f t="array" ref="AJ71:AJ71">AJ70</f>
        <v>0</v>
      </c>
      <c r="AK71" s="1979" cm="1" t="str">
        <f t="array" ref="AK71:AK71">AK70</f>
        <v>0</v>
      </c>
      <c r="AL71" s="1979"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79" cm="1" t="str">
        <f t="array" ref="AU71:AU71">AU70</f>
        <v>0</v>
      </c>
      <c r="AV71" s="1979"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1721</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1715</v>
      </c>
      <c r="D72" s="1258" t="s">
        <v>1716</v>
      </c>
      <c r="E72" s="794">
        <v>15</v>
      </c>
      <c r="F72" s="920" cm="1" t="str">
        <f t="array" ref="F72:F72">OFFSET(G72,-1,-1)</f>
        <v>0</v>
      </c>
      <c r="G72" s="190" t="s">
        <v>1722</v>
      </c>
      <c r="L72" s="190" t="s">
        <v>1678</v>
      </c>
      <c r="M72" s="1282"/>
      <c r="N72" s="1282" cm="1" t="str">
        <f t="array" ref="N72:N72">OFFSET(M72,-1,1)</f>
        <v>0</v>
      </c>
      <c r="O72" s="1283" t="s">
        <v>1701</v>
      </c>
      <c r="P72" s="1283"/>
      <c r="Q72" s="1283"/>
      <c r="R72" s="1283"/>
      <c r="T72" s="805" cm="1" t="str">
        <f t="array" ref="T72:T72">T71</f>
        <v>false</v>
      </c>
      <c r="AB72" s="660" t="str">
        <f>AB70&amp;".2"</f>
        <v>16.2</v>
      </c>
      <c r="AC72" s="720" t="s">
        <v>1723</v>
      </c>
      <c r="AD72" s="620" t="s">
        <v>684</v>
      </c>
      <c r="AE72" s="122" cm="1" t="str">
        <f t="array" ref="AE72:AE72">AE70</f>
        <v>0</v>
      </c>
      <c r="AF72" s="613"/>
      <c r="AG72" s="613"/>
      <c r="AH72" s="613"/>
      <c r="AI72" s="122" cm="1" t="str">
        <f t="array" ref="AI72:AI72">AI70</f>
        <v>0</v>
      </c>
      <c r="AJ72" s="614" cm="1" t="str">
        <f t="array" ref="AJ72:AJ72">AJ70</f>
        <v>0</v>
      </c>
      <c r="AK72" s="1979" cm="1" t="str">
        <f t="array" ref="AK72:AK72">AK70</f>
        <v>0</v>
      </c>
      <c r="AL72" s="1979"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79" cm="1" t="str">
        <f t="array" ref="AU72:AU72">AU70</f>
        <v>0</v>
      </c>
      <c r="AV72" s="1979"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1724</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1678</v>
      </c>
      <c r="M73" s="1282"/>
      <c r="N73" s="1282" cm="1" t="str">
        <f t="array" ref="N73:N73">OFFSET(M73,-1,1)</f>
        <v>0</v>
      </c>
      <c r="O73" s="1283"/>
      <c r="P73" s="1283"/>
      <c r="Q73" s="1283"/>
      <c r="R73" s="1283"/>
      <c r="T73" s="805" cm="1" t="str">
        <f t="array" ref="T73:T73">T72</f>
        <v>false</v>
      </c>
      <c r="AB73" s="659" t="s">
        <v>1725</v>
      </c>
      <c r="AC73" s="618" t="s">
        <v>1726</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1727</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1728</v>
      </c>
      <c r="D74" s="1258" t="s">
        <v>1729</v>
      </c>
      <c r="E74" s="794">
        <v>15</v>
      </c>
      <c r="F74" s="920" cm="1" t="str">
        <f t="array" ref="F74:F74">OFFSET(G74,-1,-1)</f>
        <v>0</v>
      </c>
      <c r="G74" s="190" t="s">
        <v>1730</v>
      </c>
      <c r="L74" s="190" t="s">
        <v>1678</v>
      </c>
      <c r="M74" s="1282"/>
      <c r="N74" s="1282" cm="1" t="str">
        <f t="array" ref="N74:N74">OFFSET(M74,-1,1)</f>
        <v>0</v>
      </c>
      <c r="O74" s="1283" t="s">
        <v>1692</v>
      </c>
      <c r="P74" s="1283"/>
      <c r="Q74" s="1283"/>
      <c r="R74" s="1283"/>
      <c r="T74" s="805" cm="1" t="str">
        <f t="array" ref="T74:T74">T73</f>
        <v>false</v>
      </c>
      <c r="AB74" s="660" t="str">
        <f>AB73&amp;".1"</f>
        <v>17.1</v>
      </c>
      <c r="AC74" s="1347" t="s">
        <v>1731</v>
      </c>
      <c r="AD74" s="517" t="s">
        <v>889</v>
      </c>
      <c r="AE74" s="122"/>
      <c r="AF74" s="613"/>
      <c r="AG74" s="613"/>
      <c r="AH74" s="613"/>
      <c r="AI74" s="122">
        <f>MIN(AE75,_xlfn.IFERROR(AI61*1000/AI63,0))</f>
        <v>0</v>
      </c>
      <c r="AJ74" s="614">
        <f>MIN(AI75,_xlfn.IFERROR(AJ61*1000/AJ63,0))</f>
        <v>0</v>
      </c>
      <c r="AK74" s="1979">
        <f>MIN(AJ75,_xlfn.IFERROR(AK61*1000/AK63,0))</f>
        <v>0</v>
      </c>
      <c r="AL74" s="1979">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79">
        <f>MIN(AT75,_xlfn.IFERROR(AU61*1000/AU63,0))</f>
        <v>0</v>
      </c>
      <c r="AV74" s="1979">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1732</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1728</v>
      </c>
      <c r="D75" s="1258" t="s">
        <v>1729</v>
      </c>
      <c r="E75" s="794">
        <v>15</v>
      </c>
      <c r="F75" s="920" cm="1" t="str">
        <f t="array" ref="F75:F75">OFFSET(G75,-1,-1)</f>
        <v>0</v>
      </c>
      <c r="G75" s="190" t="s">
        <v>1733</v>
      </c>
      <c r="L75" s="190" t="s">
        <v>1678</v>
      </c>
      <c r="M75" s="1282"/>
      <c r="N75" s="1282" cm="1" t="str">
        <f t="array" ref="N75:N75">OFFSET(M75,-1,1)</f>
        <v>0</v>
      </c>
      <c r="O75" s="1283" t="s">
        <v>1701</v>
      </c>
      <c r="P75" s="1283"/>
      <c r="Q75" s="1283"/>
      <c r="R75" s="1283"/>
      <c r="T75" s="805" cm="1" t="str">
        <f t="array" ref="T75:T75">T74</f>
        <v>false</v>
      </c>
      <c r="AB75" s="660" t="str">
        <f>AB73&amp;".2"</f>
        <v>17.2</v>
      </c>
      <c r="AC75" s="1347" t="s">
        <v>1734</v>
      </c>
      <c r="AD75" s="517" t="s">
        <v>889</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1735</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1736</v>
      </c>
      <c r="D76" s="1258" t="s">
        <v>1737</v>
      </c>
      <c r="E76" s="794">
        <v>15</v>
      </c>
      <c r="F76" s="920" cm="1" t="str">
        <f t="array" ref="F76:F76">OFFSET(G76,-1,-1)</f>
        <v>0</v>
      </c>
      <c r="L76" s="190" t="s">
        <v>1678</v>
      </c>
      <c r="M76" s="1282"/>
      <c r="N76" s="1282" cm="1" t="str">
        <f t="array" ref="N76:N76">OFFSET(M76,-1,1)</f>
        <v>0</v>
      </c>
      <c r="O76" s="1283"/>
      <c r="P76" s="1283" t="s">
        <v>1738</v>
      </c>
      <c r="Q76" s="1283"/>
      <c r="R76" s="1283"/>
      <c r="T76" s="805" cm="1" t="str">
        <f t="array" ref="T76:T76">T75</f>
        <v>false</v>
      </c>
      <c r="AB76" s="660" t="str">
        <f>AB73&amp;".3"</f>
        <v>17.3</v>
      </c>
      <c r="AC76" s="312" t="s">
        <v>1739</v>
      </c>
      <c r="AD76" s="517" t="s">
        <v>485</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1740</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1678</v>
      </c>
      <c r="M77" s="1282"/>
      <c r="N77" s="1282" cm="1" t="str">
        <f t="array" ref="N77:N77">OFFSET(M77,-1,1)</f>
        <v>0</v>
      </c>
      <c r="O77" s="1283"/>
      <c r="P77" s="1283"/>
      <c r="Q77" s="1283"/>
      <c r="R77" s="1283"/>
      <c r="T77" s="805" cm="1" t="str">
        <f t="array" ref="T77:T77">T76</f>
        <v>false</v>
      </c>
      <c r="AB77" s="283" t="s">
        <v>548</v>
      </c>
      <c r="AC77" s="618" t="s">
        <v>1741</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1742</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1743</v>
      </c>
      <c r="D78" s="1258" t="s">
        <v>1744</v>
      </c>
      <c r="E78" s="794">
        <v>33</v>
      </c>
      <c r="F78" s="920" cm="1" t="str">
        <f t="array" ref="F78:F78">OFFSET(G78,-1,-1)</f>
        <v>0</v>
      </c>
      <c r="G78" s="190" t="s">
        <v>1745</v>
      </c>
      <c r="L78" s="190" t="s">
        <v>1678</v>
      </c>
      <c r="M78" s="1282"/>
      <c r="N78" s="1282" cm="1" t="str">
        <f t="array" ref="N78:N78">OFFSET(M78,-1,1)</f>
        <v>0</v>
      </c>
      <c r="O78" s="1283" t="s">
        <v>1692</v>
      </c>
      <c r="P78" s="1283"/>
      <c r="Q78" s="1283"/>
      <c r="R78" s="1283"/>
      <c r="T78" s="805" cm="1" t="str">
        <f t="array" ref="T78:T78">T77</f>
        <v>false</v>
      </c>
      <c r="AB78" s="660" t="str">
        <f>AB77&amp;".1"</f>
        <v>18.1</v>
      </c>
      <c r="AC78" s="161" t="s">
        <v>1746</v>
      </c>
      <c r="AD78" s="517" t="s">
        <v>1747</v>
      </c>
      <c r="AE78" s="99"/>
      <c r="AF78" s="374"/>
      <c r="AG78" s="374"/>
      <c r="AH78" s="374"/>
      <c r="AI78" s="122">
        <f>MIN(AE79,_xlfn.IFERROR(AI62/AI70/12,0))</f>
        <v>0</v>
      </c>
      <c r="AJ78" s="614">
        <f>MIN(AI79,_xlfn.IFERROR(AJ62/AJ70/12,0))</f>
        <v>0</v>
      </c>
      <c r="AK78" s="1979">
        <f>MIN(AJ79,_xlfn.IFERROR(AK62/AK70/12,0))</f>
        <v>0</v>
      </c>
      <c r="AL78" s="1979">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79">
        <f>MIN(AT79,_xlfn.IFERROR(AU62/AU70/12,0))</f>
        <v>0</v>
      </c>
      <c r="AV78" s="1979">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1748</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1743</v>
      </c>
      <c r="D79" s="1258" t="s">
        <v>1744</v>
      </c>
      <c r="E79" s="794">
        <v>33</v>
      </c>
      <c r="F79" s="920" cm="1" t="str">
        <f t="array" ref="F79:F79">OFFSET(G79,-1,-1)</f>
        <v>0</v>
      </c>
      <c r="G79" s="190" t="s">
        <v>1749</v>
      </c>
      <c r="L79" s="190" t="s">
        <v>1678</v>
      </c>
      <c r="M79" s="1282"/>
      <c r="N79" s="1282" cm="1" t="str">
        <f t="array" ref="N79:N79">OFFSET(M79,-1,1)</f>
        <v>0</v>
      </c>
      <c r="O79" s="1283" t="s">
        <v>1701</v>
      </c>
      <c r="P79" s="1283"/>
      <c r="Q79" s="1283"/>
      <c r="R79" s="1283"/>
      <c r="T79" s="805" cm="1" t="str">
        <f t="array" ref="T79:T79">T78</f>
        <v>false</v>
      </c>
      <c r="AB79" s="660" t="str">
        <f>AB77&amp;".2"</f>
        <v>18.2</v>
      </c>
      <c r="AC79" s="161" t="s">
        <v>1750</v>
      </c>
      <c r="AD79" s="517" t="s">
        <v>1747</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1751</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1736</v>
      </c>
      <c r="D80" s="1258" t="s">
        <v>1737</v>
      </c>
      <c r="E80" s="794">
        <v>15</v>
      </c>
      <c r="F80" s="920" cm="1" t="str">
        <f t="array" ref="F80:F80">OFFSET(G80,-1,-1)</f>
        <v>0</v>
      </c>
      <c r="L80" s="190" t="s">
        <v>1678</v>
      </c>
      <c r="M80" s="1282"/>
      <c r="N80" s="1282" cm="1" t="str">
        <f t="array" ref="N80:N80">OFFSET(M80,-1,1)</f>
        <v>0</v>
      </c>
      <c r="O80" s="1283"/>
      <c r="P80" s="1283"/>
      <c r="Q80" s="1283" t="s">
        <v>1752</v>
      </c>
      <c r="R80" s="1283"/>
      <c r="T80" s="805" cm="1" t="str">
        <f t="array" ref="T80:T80">T79</f>
        <v>false</v>
      </c>
      <c r="AB80" s="660" t="str">
        <f>AB77&amp;".3"</f>
        <v>18.3</v>
      </c>
      <c r="AC80" s="312" t="s">
        <v>1753</v>
      </c>
      <c r="AD80" s="717" t="s">
        <v>485</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1754</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1755</v>
      </c>
      <c r="D81" s="1258" t="s">
        <v>1756</v>
      </c>
      <c r="E81" s="794">
        <v>30</v>
      </c>
      <c r="F81" s="920" cm="1" t="str">
        <f t="array" ref="F81:F81">OFFSET(G81,-1,-1)</f>
        <v>0</v>
      </c>
      <c r="M81" s="1282"/>
      <c r="N81" s="1282" cm="1" t="str">
        <f t="array" ref="N81:N81">OFFSET(M81,-1,1)</f>
        <v>0</v>
      </c>
      <c r="O81" s="1283"/>
      <c r="P81" s="1283"/>
      <c r="Q81" s="1283"/>
      <c r="R81" s="1283"/>
      <c r="T81" s="805" cm="1" t="str">
        <f t="array" ref="T81:T81">T60</f>
        <v>false</v>
      </c>
      <c r="AB81" s="285" t="s">
        <v>1757</v>
      </c>
      <c r="AC81" s="1060" t="s">
        <v>1758</v>
      </c>
      <c r="AD81" s="577" t="s">
        <v>986</v>
      </c>
      <c r="AE81" s="99"/>
      <c r="AF81" s="99"/>
      <c r="AG81" s="137"/>
      <c r="AH81" s="307">
        <f>AG81-AF81</f>
        <v>0</v>
      </c>
      <c r="AI81" s="138"/>
      <c r="AJ81" s="1061"/>
      <c r="AK81" s="2011"/>
      <c r="AL81" s="2011"/>
      <c r="AM81" s="138"/>
      <c r="AN81" s="138"/>
      <c r="AO81" s="138"/>
      <c r="AP81" s="138"/>
      <c r="AQ81" s="138"/>
      <c r="AR81" s="138"/>
      <c r="AS81" s="138"/>
      <c r="AT81" s="1061"/>
      <c r="AU81" s="2011"/>
      <c r="AV81" s="2011"/>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1759</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22"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337</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42" customFormat="1" customHeight="1" ht="16.5">
      <c r="A83" s="225"/>
      <c r="B83" s="925"/>
      <c r="C83" s="1299" t="s">
        <v>1554</v>
      </c>
      <c r="D83" s="1258" t="s">
        <v>1555</v>
      </c>
      <c r="E83" s="794">
        <v>17.1</v>
      </c>
      <c r="F83" s="920" cm="1" t="str">
        <f t="array" ref="F83:F83">OFFSET(G83,-1,-1)</f>
        <v>1</v>
      </c>
      <c r="G83" s="190" t="s">
        <v>1259</v>
      </c>
      <c r="H83" s="227"/>
      <c r="I83" s="227"/>
      <c r="J83" s="227"/>
      <c r="K83" s="227"/>
      <c r="L83" s="190"/>
      <c r="M83" s="1282"/>
      <c r="N83" s="1282" cm="1" t="str">
        <f t="array" ref="N83:N83">INDEX('Общие сведения'!$N$169:$N$202,MATCH($F83,'Общие сведения'!$Z$169:$Z$202,0)+1)</f>
        <v>ТЭ.73.28136693.0002</v>
      </c>
      <c r="O83" s="1283"/>
      <c r="P83" s="1283"/>
      <c r="Q83" s="1283"/>
      <c r="R83" s="1283"/>
      <c r="S83" s="1642"/>
      <c r="T83" s="805" cm="1" t="str">
        <f t="array" ref="T83:T83">T82</f>
        <v>true</v>
      </c>
      <c r="U83" s="1437"/>
      <c r="V83" s="1437"/>
      <c r="W83" s="1437"/>
      <c r="X83" s="1437"/>
      <c r="Y83" s="1437"/>
      <c r="Z83" s="1437"/>
      <c r="AA83" s="227"/>
      <c r="AB83" s="157" t="s">
        <v>337</v>
      </c>
      <c r="AC83" s="738" t="s">
        <v>1312</v>
      </c>
      <c r="AD83" s="485" t="s">
        <v>986</v>
      </c>
      <c r="AE83" s="612">
        <f>_xlfn.SUMIFS('Операционные (5.1)'!AE$26:AE$76,'Операционные (5.1)'!$F$26:$F$76,$F83,'Операционные (5.1)'!$G$26:$G$76,$G83)</f>
        <v>31502.08</v>
      </c>
      <c r="AF83" s="612">
        <f>_xlfn.SUMIFS('Операционные (5.1)'!AF$26:AF$76,'Операционные (5.1)'!$F$26:$F$76,$F83,'Операционные (5.1)'!$G$26:$G$76,$G83)</f>
        <v>31818.23</v>
      </c>
      <c r="AG83" s="612">
        <f>_xlfn.SUMIFS('Операционные (5.1)'!AG$26:AG$76,'Операционные (5.1)'!$F$26:$F$76,$F83,'Операционные (5.1)'!$G$26:$G$76,$G83)</f>
        <v>34176.33882432</v>
      </c>
      <c r="AH83" s="307">
        <f>AG83-AF83</f>
        <v>2358.10882432</v>
      </c>
      <c r="AI83" s="612">
        <f>_xlfn.SUMIFS('Операционные (5.1)'!AI$26:AI$76,'Операционные (5.1)'!$F$26:$F$76,$F83,'Операционные (5.1)'!$G$26:$G$76,$G83)</f>
        <v>33329.20292</v>
      </c>
      <c r="AJ83" s="737">
        <f>_xlfn.SUMIFS(INDEX('Операционные (5.2)'!$AJ$26:$BC$45,,MATCH(AJ$8,'Операционные (5.2)'!$AJ$8:$BC$8,0)),'Операционные (5.2)'!$F$26:$F$45,$F83,'Операционные (5.2)'!$G$26:$G$45,$G83)</f>
        <v>34414.73</v>
      </c>
      <c r="AK83" s="737">
        <f>_xlfn.SUMIFS(INDEX('Операционные (5.2)'!$AJ$26:$BC$45,,MATCH(AK$8,'Операционные (5.2)'!$AJ$8:$BC$8,0)),'Операционные (5.2)'!$F$26:$F$45,$F83,'Операционные (5.2)'!$G$26:$G$45,$G83)</f>
        <v>34070.5827</v>
      </c>
      <c r="AL83" s="737">
        <f>_xlfn.SUMIFS(INDEX('Операционные (5.2)'!$AJ$26:$BC$45,,MATCH(AL$8,'Операционные (5.2)'!$AJ$8:$BC$8,0)),'Операционные (5.2)'!$F$26:$F$45,$F83,'Операционные (5.2)'!$G$26:$G$45,$G83)</f>
        <v>33729.876873</v>
      </c>
      <c r="AM83" s="737">
        <f>_xlfn.SUMIFS(INDEX('Операционные (5.2)'!$AJ$26:$BC$45,,MATCH(AM$8,'Операционные (5.2)'!$AJ$8:$BC$8,0)),'Операционные (5.2)'!$F$26:$F$45,$F83,'Операционные (5.2)'!$G$26:$G$45,$G83)</f>
        <v>33392.57810427</v>
      </c>
      <c r="AN83" s="737">
        <f>_xlfn.SUMIFS(INDEX('Операционные (5.2)'!$AJ$26:$BC$45,,MATCH(AN$8,'Операционные (5.2)'!$AJ$8:$BC$8,0)),'Операционные (5.2)'!$F$26:$F$45,$F83,'Операционные (5.2)'!$G$26:$G$45,$G83)</f>
        <v>33058.6523232273</v>
      </c>
      <c r="AO83" s="737">
        <f>_xlfn.SUMIFS(INDEX('Операционные (5.2)'!$AJ$26:$BC$45,,MATCH(AO$8,'Операционные (5.2)'!$AJ$8:$BC$8,0)),'Операционные (5.2)'!$F$26:$F$45,$F83,'Операционные (5.2)'!$G$26:$G$45,$G83)</f>
        <v>32728.065799995</v>
      </c>
      <c r="AP83" s="737">
        <f>_xlfn.SUMIFS(INDEX('Операционные (5.2)'!$AJ$26:$BC$45,,MATCH(AP$8,'Операционные (5.2)'!$AJ$8:$BC$8,0)),'Операционные (5.2)'!$F$26:$F$45,$F83,'Операционные (5.2)'!$G$26:$G$45,$G83)</f>
        <v>32400.7851419951</v>
      </c>
      <c r="AQ83" s="737">
        <f>_xlfn.SUMIFS(INDEX('Операционные (5.2)'!$AJ$26:$BC$45,,MATCH(AQ$8,'Операционные (5.2)'!$AJ$8:$BC$8,0)),'Операционные (5.2)'!$F$26:$F$45,$F83,'Операционные (5.2)'!$G$26:$G$45,$G83)</f>
        <v>32076.7772905751</v>
      </c>
      <c r="AR83" s="737">
        <f>_xlfn.SUMIFS(INDEX('Операционные (5.2)'!$AJ$26:$BC$45,,MATCH(AR$8,'Операционные (5.2)'!$AJ$8:$BC$8,0)),'Операционные (5.2)'!$F$26:$F$45,$F83,'Операционные (5.2)'!$G$26:$G$45,$G83)</f>
        <v>31756.0095176694</v>
      </c>
      <c r="AS83" s="737">
        <f>_xlfn.SUMIFS(INDEX('Операционные (5.2)'!$AJ$26:$BC$45,,MATCH(AS$8,'Операционные (5.2)'!$AJ$8:$BC$8,0)),'Операционные (5.2)'!$F$26:$F$45,$F83,'Операционные (5.2)'!$G$26:$G$45,$G83)</f>
        <v>31438.4494224927</v>
      </c>
      <c r="AT83" s="737">
        <f>_xlfn.SUMIFS(INDEX('Операционные (5.2)'!$AJ$26:$BC$45,,MATCH(AT$8,'Операционные (5.2)'!$AJ$8:$BC$8,0)),'Операционные (5.2)'!$F$26:$F$45,$F83,'Операционные (5.2)'!$G$26:$G$45,$G83)</f>
        <v>34678.7</v>
      </c>
      <c r="AU83" s="737">
        <f>_xlfn.SUMIFS(INDEX('Операционные (5.2)'!$AJ$26:$BC$45,,MATCH(AU$8,'Операционные (5.2)'!$AJ$8:$BC$8,0)),'Операционные (5.2)'!$F$26:$F$45,$F83,'Операционные (5.2)'!$G$26:$G$45,$G83)</f>
        <v>34331.913</v>
      </c>
      <c r="AV83" s="737">
        <f>_xlfn.SUMIFS(INDEX('Операционные (5.2)'!$AJ$26:$BC$45,,MATCH(AV$8,'Операционные (5.2)'!$AJ$8:$BC$8,0)),'Операционные (5.2)'!$F$26:$F$45,$F83,'Операционные (5.2)'!$G$26:$G$45,$G83)</f>
        <v>33988.59387</v>
      </c>
      <c r="AW83" s="737">
        <f>_xlfn.SUMIFS(INDEX('Операционные (5.2)'!$AJ$26:$BC$45,,MATCH(AW$8,'Операционные (5.2)'!$AJ$8:$BC$8,0)),'Операционные (5.2)'!$F$26:$F$45,$F83,'Операционные (5.2)'!$G$26:$G$45,$G83)</f>
        <v>33648.7079313</v>
      </c>
      <c r="AX83" s="737">
        <f>_xlfn.SUMIFS(INDEX('Операционные (5.2)'!$AJ$26:$BC$45,,MATCH(AX$8,'Операционные (5.2)'!$AJ$8:$BC$8,0)),'Операционные (5.2)'!$F$26:$F$45,$F83,'Операционные (5.2)'!$G$26:$G$45,$G83)</f>
        <v>33312.220851987</v>
      </c>
      <c r="AY83" s="737">
        <f>_xlfn.SUMIFS(INDEX('Операционные (5.2)'!$AJ$26:$BC$45,,MATCH(AY$8,'Операционные (5.2)'!$AJ$8:$BC$8,0)),'Операционные (5.2)'!$F$26:$F$45,$F83,'Операционные (5.2)'!$G$26:$G$45,$G83)</f>
        <v>32979.0986434671</v>
      </c>
      <c r="AZ83" s="737">
        <f>_xlfn.SUMIFS(INDEX('Операционные (5.2)'!$AJ$26:$BC$45,,MATCH(AZ$8,'Операционные (5.2)'!$AJ$8:$BC$8,0)),'Операционные (5.2)'!$F$26:$F$45,$F83,'Операционные (5.2)'!$G$26:$G$45,$G83)</f>
        <v>32649.3076570324</v>
      </c>
      <c r="BA83" s="737">
        <f>_xlfn.SUMIFS(INDEX('Операционные (5.2)'!$AJ$26:$BC$45,,MATCH(BA$8,'Операционные (5.2)'!$AJ$8:$BC$8,0)),'Операционные (5.2)'!$F$26:$F$45,$F83,'Операционные (5.2)'!$G$26:$G$45,$G83)</f>
        <v>32322.8145804621</v>
      </c>
      <c r="BB83" s="737">
        <f>_xlfn.SUMIFS(INDEX('Операционные (5.2)'!$AJ$26:$BC$45,,MATCH(BB$8,'Операционные (5.2)'!$AJ$8:$BC$8,0)),'Операционные (5.2)'!$F$26:$F$45,$F83,'Операционные (5.2)'!$G$26:$G$45,$G83)</f>
        <v>31999.5864346575</v>
      </c>
      <c r="BC83" s="737">
        <f>_xlfn.SUMIFS(INDEX('Операционные (5.2)'!$AJ$26:$BC$45,,MATCH(BC$8,'Операционные (5.2)'!$AJ$8:$BC$8,0)),'Операционные (5.2)'!$F$26:$F$45,$F83,'Операционные (5.2)'!$G$26:$G$45,$G83)</f>
        <v>31679.5905703109</v>
      </c>
      <c r="BD83" s="307">
        <f>IF(AI83=0,0,(AT83-AI83)/AI83*100)</f>
        <v>4.04899296043529</v>
      </c>
      <c r="BE83" s="307">
        <f>IF(AT83=0,0,(AU83-AT83)/AT83*100)</f>
        <v>-0.99999999999999</v>
      </c>
      <c r="BF83" s="307">
        <f>IF(AU83=0,0,(AV83-AU83)/AU83*100)</f>
        <v>-1</v>
      </c>
      <c r="BG83" s="307">
        <f>IF(AV83=0,0,(AW83-AV83)/AV83*100)</f>
        <v>-0.99999999999999</v>
      </c>
      <c r="BH83" s="307">
        <f>IF(AW83=0,0,(AX83-AW83)/AW83*100)</f>
        <v>-1</v>
      </c>
      <c r="BI83" s="307">
        <f>IF(AX83=0,0,(AY83-AX83)/AX83*100)</f>
        <v>-1.0000000000001</v>
      </c>
      <c r="BJ83" s="307">
        <f>IF(AY83=0,0,(AZ83-AY83)/AY83*100)</f>
        <v>-1.0000000000001</v>
      </c>
      <c r="BK83" s="307">
        <f>IF(AZ83=0,0,(BA83-AZ83)/AZ83*100)</f>
        <v>-0.99999999999992</v>
      </c>
      <c r="BL83" s="307">
        <f>IF(BA83=0,0,(BB83-BA83)/BA83*100)</f>
        <v>-0.99999999999994</v>
      </c>
      <c r="BM83" s="307">
        <f>IF(BB83=0,0,(BC83-BB83)/BB83*100)</f>
        <v>-1.0000000000001</v>
      </c>
      <c r="BN83" s="1792"/>
      <c r="BO83" s="1792"/>
      <c r="BP83" s="1792"/>
      <c r="BQ83" s="227"/>
      <c r="BR83" s="227"/>
      <c r="BS83" s="1233" t="s">
        <v>1556</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M10746::ТЭ.73.28136693.0002::Неопределено::Неопределено::Неопределено::Неопределено::Неопределено</v>
      </c>
    </row>
    <row s="1642" customFormat="1" customHeight="1" ht="16.5">
      <c r="A84" s="225"/>
      <c r="B84" s="925"/>
      <c r="C84" s="1299" t="s">
        <v>1557</v>
      </c>
      <c r="D84" s="1258" t="s">
        <v>1558</v>
      </c>
      <c r="E84" s="794">
        <v>17.1</v>
      </c>
      <c r="F84" s="920" cm="1" t="str">
        <f t="array" ref="F84:F84">OFFSET(G84,-1,-1)</f>
        <v>1</v>
      </c>
      <c r="G84" s="190" t="s">
        <v>1318</v>
      </c>
      <c r="H84" s="227"/>
      <c r="I84" s="227"/>
      <c r="J84" s="227"/>
      <c r="K84" s="227"/>
      <c r="L84" s="190"/>
      <c r="M84" s="1282"/>
      <c r="N84" s="1282" cm="1" t="str">
        <f t="array" ref="N84:N84">OFFSET(M84,-1,1)</f>
        <v>ТЭ.73.28136693.0002</v>
      </c>
      <c r="O84" s="1283"/>
      <c r="P84" s="1283"/>
      <c r="Q84" s="1283"/>
      <c r="R84" s="1283"/>
      <c r="S84" s="1642"/>
      <c r="T84" s="805" cm="1" t="str">
        <f t="array" ref="T84:T84">T83</f>
        <v>true</v>
      </c>
      <c r="U84" s="1437"/>
      <c r="V84" s="1437"/>
      <c r="W84" s="1437"/>
      <c r="X84" s="1437"/>
      <c r="Y84" s="1437"/>
      <c r="Z84" s="1437"/>
      <c r="AA84" s="227"/>
      <c r="AB84" s="157" t="s">
        <v>440</v>
      </c>
      <c r="AC84" s="649" t="s">
        <v>1559</v>
      </c>
      <c r="AD84" s="485" t="s">
        <v>986</v>
      </c>
      <c r="AE84" s="612">
        <f>_xlfn.SUMIFS('Неподконтрольные (5.3)'!AE$26:AE$67,'Неподконтрольные (5.3)'!$F$26:$F$67,$F84,'Неподконтрольные (5.3)'!$G$26:$G$67,$G84)</f>
        <v>7775.56</v>
      </c>
      <c r="AF84" s="612">
        <f>_xlfn.SUMIFS('Неподконтрольные (5.3)'!AF$26:AF$67,'Неподконтрольные (5.3)'!$F$26:$F$67,$F84,'Неподконтрольные (5.3)'!$G$26:$G$67,$G84)</f>
        <v>39953.66</v>
      </c>
      <c r="AG84" s="612">
        <f>_xlfn.SUMIFS('Неподконтрольные (5.3)'!AG$26:AG$67,'Неподконтрольные (5.3)'!$F$26:$F$67,$F84,'Неподконтрольные (5.3)'!$G$26:$G$67,$G84)</f>
        <v>7305.29</v>
      </c>
      <c r="AH84" s="307">
        <f>AG84-AF84</f>
        <v>-32648.37</v>
      </c>
      <c r="AI84" s="612">
        <f>_xlfn.SUMIFS('Неподконтрольные (5.3)'!AI$26:AI$67,'Неподконтрольные (5.3)'!$F$26:$F$67,$F84,'Неподконтрольные (5.3)'!$G$26:$G$67,$G84)</f>
        <v>8093.4</v>
      </c>
      <c r="AJ84" s="612">
        <f>_xlfn.SUMIFS('Неподконтрольные (5.3)'!AJ$26:AJ$67,'Неподконтрольные (5.3)'!$F$26:$F$67,$F84,'Неподконтрольные (5.3)'!$G$26:$G$67,$G84)</f>
        <v>55695.66887</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825.0349</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-89.806077791781</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92"/>
      <c r="BO84" s="1792"/>
      <c r="BP84" s="1792"/>
      <c r="BQ84" s="227"/>
      <c r="BR84" s="227"/>
      <c r="BS84" s="1233" t="s">
        <v>1560</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M10747::ТЭ.73.28136693.0002::Неопределено::Неопределено::Неопределено::Неопределено::Неопределено</v>
      </c>
    </row>
    <row s="1642" customFormat="1" customHeight="1" ht="25.5">
      <c r="A85" s="225"/>
      <c r="B85" s="925"/>
      <c r="C85" s="1299" t="s">
        <v>1561</v>
      </c>
      <c r="D85" s="1258" t="s">
        <v>1562</v>
      </c>
      <c r="E85" s="794">
        <v>26.3</v>
      </c>
      <c r="F85" s="920" cm="1" t="str">
        <f t="array" ref="F85:F85">OFFSET(G85,-1,-1)</f>
        <v>1</v>
      </c>
      <c r="G85" s="190" t="s">
        <v>1360</v>
      </c>
      <c r="H85" s="227"/>
      <c r="I85" s="227"/>
      <c r="J85" s="227"/>
      <c r="K85" s="227"/>
      <c r="L85" s="190"/>
      <c r="M85" s="1282"/>
      <c r="N85" s="1282" cm="1" t="str">
        <f t="array" ref="N85:N85">OFFSET(M85,-1,1)</f>
        <v>ТЭ.73.28136693.0002</v>
      </c>
      <c r="O85" s="1283"/>
      <c r="P85" s="1283"/>
      <c r="Q85" s="1283"/>
      <c r="R85" s="1283"/>
      <c r="S85" s="1642"/>
      <c r="T85" s="805" cm="1" t="str">
        <f t="array" ref="T85:T85">T84</f>
        <v>true</v>
      </c>
      <c r="U85" s="1437"/>
      <c r="V85" s="1437"/>
      <c r="W85" s="1437"/>
      <c r="X85" s="1437"/>
      <c r="Y85" s="1437"/>
      <c r="Z85" s="1437"/>
      <c r="AA85" s="227"/>
      <c r="AB85" s="157" t="s">
        <v>608</v>
      </c>
      <c r="AC85" s="649" t="s">
        <v>1563</v>
      </c>
      <c r="AD85" s="485" t="s">
        <v>986</v>
      </c>
      <c r="AE85" s="612">
        <f>_xlfn.SUMIFS('Ресурсы (5.4)'!AE$26:AE$47,'Ресурсы (5.4)'!$F$26:$F$47,$F85,'Ресурсы (5.4)'!$G$26:$G$47,$G85)</f>
        <v>0</v>
      </c>
      <c r="AF85" s="612">
        <f>_xlfn.SUMIFS('Ресурсы (5.4)'!AF$26:AF$47,'Ресурсы (5.4)'!$F$26:$F$47,$F85,'Ресурсы (5.4)'!$G$26:$G$47,$G85)</f>
        <v>140942.32</v>
      </c>
      <c r="AG85" s="612">
        <f>_xlfn.SUMIFS('Ресурсы (5.4)'!AG$26:AG$47,'Ресурсы (5.4)'!$F$26:$F$47,$F85,'Ресурсы (5.4)'!$G$26:$G$47,$G85)</f>
        <v>140942.32</v>
      </c>
      <c r="AH85" s="307">
        <f>AG85-AF85</f>
        <v>0</v>
      </c>
      <c r="AI85" s="612">
        <f>_xlfn.SUMIFS('Ресурсы (5.4)'!AI$26:AI$47,'Ресурсы (5.4)'!$F$26:$F$47,$F85,'Ресурсы (5.4)'!$G$26:$G$47,$G85)</f>
        <v>0</v>
      </c>
      <c r="AJ85" s="612">
        <f>_xlfn.SUMIFS('Ресурсы (5.4)'!AJ$26:AJ$47,'Ресурсы (5.4)'!$F$26:$F$47,$F85,'Ресурсы (5.4)'!$G$26:$G$47,$G85)</f>
        <v>297312.05</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0</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92"/>
      <c r="BO85" s="1792"/>
      <c r="BP85" s="1792"/>
      <c r="BQ85" s="227"/>
      <c r="BR85" s="227"/>
      <c r="BS85" s="1233" t="s">
        <v>1564</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M10748::ТЭ.73.28136693.0002::Неопределено::Неопределено::Неопределено::Неопределено::Неопределено</v>
      </c>
    </row>
    <row s="1642" customFormat="1" customHeight="1" ht="16.5" hidden="1">
      <c r="A86" s="225"/>
      <c r="B86" s="925"/>
      <c r="C86" s="1299" t="s">
        <v>1565</v>
      </c>
      <c r="D86" s="1258" t="s">
        <v>1566</v>
      </c>
      <c r="E86" s="794">
        <v>17.1</v>
      </c>
      <c r="F86" s="920" cm="1" t="str">
        <f t="array" ref="F86:F86">OFFSET(G86,-1,-1)</f>
        <v>1</v>
      </c>
      <c r="G86" s="227"/>
      <c r="H86" s="227"/>
      <c r="I86" s="227"/>
      <c r="J86" s="227"/>
      <c r="K86" s="227"/>
      <c r="L86" s="190"/>
      <c r="M86" s="1282"/>
      <c r="N86" s="1282" cm="1" t="str">
        <f t="array" ref="N86:N86">OFFSET(M86,-1,1)</f>
        <v>ТЭ.73.28136693.0002</v>
      </c>
      <c r="O86" s="1283"/>
      <c r="P86" s="1283"/>
      <c r="Q86" s="1283"/>
      <c r="R86" s="1283"/>
      <c r="S86" s="1642"/>
      <c r="T86" s="805">
        <f>AND(F86&gt;0,method_reg="Метод обеспечения доходности инвестированного капитала")</f>
        <v>0</v>
      </c>
      <c r="U86" s="1437"/>
      <c r="V86" s="1437"/>
      <c r="W86" s="1437"/>
      <c r="X86" s="1437"/>
      <c r="Y86" s="1437"/>
      <c r="Z86" s="1437"/>
      <c r="AA86" s="227"/>
      <c r="AB86" s="311" t="s">
        <v>618</v>
      </c>
      <c r="AC86" s="840" t="s">
        <v>1567</v>
      </c>
      <c r="AD86" s="309" t="s">
        <v>799</v>
      </c>
      <c r="AE86" s="122"/>
      <c r="AF86" s="122"/>
      <c r="AG86" s="122"/>
      <c r="AH86" s="307">
        <f>AG86-AF86</f>
        <v>0</v>
      </c>
      <c r="AI86" s="122"/>
      <c r="AJ86" s="614"/>
      <c r="AK86" s="1979"/>
      <c r="AL86" s="1979"/>
      <c r="AM86" s="122"/>
      <c r="AN86" s="122"/>
      <c r="AO86" s="122"/>
      <c r="AP86" s="122"/>
      <c r="AQ86" s="122"/>
      <c r="AR86" s="122"/>
      <c r="AS86" s="122"/>
      <c r="AT86" s="614"/>
      <c r="AU86" s="1979"/>
      <c r="AV86" s="1979"/>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1568</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M11483::ТЭ.73.28136693.0002::Неопределено::Неопределено::Неопределено::Неопределено::Неопределено</v>
      </c>
    </row>
    <row s="1642" customFormat="1" customHeight="1" ht="16.5" hidden="1">
      <c r="A87" s="225"/>
      <c r="B87" s="925"/>
      <c r="C87" s="1299" t="s">
        <v>1569</v>
      </c>
      <c r="D87" s="1258" t="s">
        <v>1570</v>
      </c>
      <c r="E87" s="794">
        <v>17.1</v>
      </c>
      <c r="F87" s="920" cm="1" t="str">
        <f t="array" ref="F87:F87">OFFSET(G87,-1,-1)</f>
        <v>1</v>
      </c>
      <c r="G87" s="227"/>
      <c r="H87" s="227"/>
      <c r="I87" s="227"/>
      <c r="J87" s="227"/>
      <c r="K87" s="227"/>
      <c r="L87" s="190"/>
      <c r="M87" s="1282"/>
      <c r="N87" s="1282" cm="1" t="str">
        <f t="array" ref="N87:N87">OFFSET(M87,-1,1)</f>
        <v>ТЭ.73.28136693.0002</v>
      </c>
      <c r="O87" s="1283"/>
      <c r="P87" s="1283"/>
      <c r="Q87" s="1283"/>
      <c r="R87" s="1283"/>
      <c r="S87" s="1642"/>
      <c r="T87" s="805">
        <f>AND(F87&gt;0,method_reg="Метод обеспечения доходности инвестированного капитала")</f>
        <v>0</v>
      </c>
      <c r="U87" s="1437"/>
      <c r="V87" s="1437"/>
      <c r="W87" s="1437"/>
      <c r="X87" s="1437"/>
      <c r="Y87" s="1437"/>
      <c r="Z87" s="1437"/>
      <c r="AA87" s="227"/>
      <c r="AB87" s="311" t="s">
        <v>740</v>
      </c>
      <c r="AC87" s="312" t="s">
        <v>1571</v>
      </c>
      <c r="AD87" s="309" t="s">
        <v>799</v>
      </c>
      <c r="AE87" s="122"/>
      <c r="AF87" s="122"/>
      <c r="AG87" s="122"/>
      <c r="AH87" s="307">
        <f>AG87-AF87</f>
        <v>0</v>
      </c>
      <c r="AI87" s="122"/>
      <c r="AJ87" s="614"/>
      <c r="AK87" s="1979"/>
      <c r="AL87" s="1979"/>
      <c r="AM87" s="122"/>
      <c r="AN87" s="122"/>
      <c r="AO87" s="122"/>
      <c r="AP87" s="122"/>
      <c r="AQ87" s="122"/>
      <c r="AR87" s="122"/>
      <c r="AS87" s="122"/>
      <c r="AT87" s="614"/>
      <c r="AU87" s="1979"/>
      <c r="AV87" s="1979"/>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1572</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M11484::ТЭ.73.28136693.0002::Неопределено::Неопределено::Неопределено::Неопределено::Неопределено</v>
      </c>
    </row>
    <row s="1642" customFormat="1" customHeight="1" ht="16.5" hidden="1">
      <c r="A88" s="225"/>
      <c r="B88" s="925"/>
      <c r="C88" s="1299" t="s">
        <v>1573</v>
      </c>
      <c r="D88" s="1258" t="s">
        <v>1574</v>
      </c>
      <c r="E88" s="794">
        <v>17.1</v>
      </c>
      <c r="F88" s="920" cm="1" t="str">
        <f t="array" ref="F88:F88">OFFSET(G88,-1,-1)</f>
        <v>1</v>
      </c>
      <c r="G88" s="227"/>
      <c r="H88" s="227"/>
      <c r="I88" s="227"/>
      <c r="J88" s="227"/>
      <c r="K88" s="227"/>
      <c r="L88" s="190"/>
      <c r="M88" s="1282"/>
      <c r="N88" s="1282" cm="1" t="str">
        <f t="array" ref="N88:N88">OFFSET(M88,-1,1)</f>
        <v>ТЭ.73.28136693.0002</v>
      </c>
      <c r="O88" s="1283"/>
      <c r="P88" s="1283"/>
      <c r="Q88" s="1283"/>
      <c r="R88" s="1283"/>
      <c r="S88" s="1642"/>
      <c r="T88" s="805">
        <f>AND(F88&gt;0,method_reg="Метод обеспечения доходности инвестированного капитала")</f>
        <v>0</v>
      </c>
      <c r="U88" s="1437"/>
      <c r="V88" s="1437"/>
      <c r="W88" s="1437"/>
      <c r="X88" s="1437"/>
      <c r="Y88" s="1437"/>
      <c r="Z88" s="1437"/>
      <c r="AA88" s="227"/>
      <c r="AB88" s="311" t="s">
        <v>1575</v>
      </c>
      <c r="AC88" s="312" t="s">
        <v>1576</v>
      </c>
      <c r="AD88" s="309" t="s">
        <v>1577</v>
      </c>
      <c r="AE88" s="122"/>
      <c r="AF88" s="122"/>
      <c r="AG88" s="122"/>
      <c r="AH88" s="307">
        <f>AG88-AF88</f>
        <v>0</v>
      </c>
      <c r="AI88" s="122"/>
      <c r="AJ88" s="614"/>
      <c r="AK88" s="1979"/>
      <c r="AL88" s="1979"/>
      <c r="AM88" s="122"/>
      <c r="AN88" s="122"/>
      <c r="AO88" s="122"/>
      <c r="AP88" s="122"/>
      <c r="AQ88" s="122"/>
      <c r="AR88" s="122"/>
      <c r="AS88" s="122"/>
      <c r="AT88" s="614"/>
      <c r="AU88" s="1979"/>
      <c r="AV88" s="1979"/>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1578</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M11485::ТЭ.73.28136693.0002::Неопределено::Неопределено::Неопределено::Неопределено::Неопределено</v>
      </c>
    </row>
    <row s="1642" customFormat="1" customHeight="1" ht="16.5" hidden="1">
      <c r="A89" s="225"/>
      <c r="B89" s="925"/>
      <c r="C89" s="1299" t="s">
        <v>1579</v>
      </c>
      <c r="D89" s="1258" t="s">
        <v>1580</v>
      </c>
      <c r="E89" s="794">
        <v>17.1</v>
      </c>
      <c r="F89" s="920" cm="1" t="str">
        <f t="array" ref="F89:F89">OFFSET(G89,-1,-1)</f>
        <v>1</v>
      </c>
      <c r="G89" s="227"/>
      <c r="H89" s="227"/>
      <c r="I89" s="227"/>
      <c r="J89" s="227"/>
      <c r="K89" s="227"/>
      <c r="L89" s="190"/>
      <c r="M89" s="1282"/>
      <c r="N89" s="1282" cm="1" t="str">
        <f t="array" ref="N89:N89">OFFSET(M89,-1,1)</f>
        <v>ТЭ.73.28136693.0002</v>
      </c>
      <c r="O89" s="1283"/>
      <c r="P89" s="1283"/>
      <c r="Q89" s="1283"/>
      <c r="R89" s="1283"/>
      <c r="S89" s="1642"/>
      <c r="T89" s="805">
        <f>AND(F89&gt;0,method_reg="Метод обеспечения доходности инвестированного капитала")</f>
        <v>0</v>
      </c>
      <c r="U89" s="1437"/>
      <c r="V89" s="1437"/>
      <c r="W89" s="1437"/>
      <c r="X89" s="1437"/>
      <c r="Y89" s="1437"/>
      <c r="Z89" s="1437"/>
      <c r="AA89" s="227"/>
      <c r="AB89" s="311" t="s">
        <v>623</v>
      </c>
      <c r="AC89" s="840" t="s">
        <v>1581</v>
      </c>
      <c r="AD89" s="309" t="s">
        <v>799</v>
      </c>
      <c r="AE89" s="122"/>
      <c r="AF89" s="122"/>
      <c r="AG89" s="122"/>
      <c r="AH89" s="307">
        <f>AG89-AF89</f>
        <v>0</v>
      </c>
      <c r="AI89" s="122"/>
      <c r="AJ89" s="614"/>
      <c r="AK89" s="1979"/>
      <c r="AL89" s="1979"/>
      <c r="AM89" s="122"/>
      <c r="AN89" s="122"/>
      <c r="AO89" s="122"/>
      <c r="AP89" s="122"/>
      <c r="AQ89" s="122"/>
      <c r="AR89" s="122"/>
      <c r="AS89" s="122"/>
      <c r="AT89" s="614"/>
      <c r="AU89" s="1979"/>
      <c r="AV89" s="1979"/>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1582</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M11486::ТЭ.73.28136693.0002::Неопределено::Неопределено::Неопределено::Неопределено::Неопределено</v>
      </c>
    </row>
    <row s="1642" customFormat="1" customHeight="1" ht="16.5" hidden="1">
      <c r="A90" s="225"/>
      <c r="B90" s="925"/>
      <c r="C90" s="1299" t="s">
        <v>1583</v>
      </c>
      <c r="D90" s="1258" t="s">
        <v>1584</v>
      </c>
      <c r="E90" s="794">
        <v>17.1</v>
      </c>
      <c r="F90" s="920" cm="1" t="str">
        <f t="array" ref="F90:F90">OFFSET(G90,-1,-1)</f>
        <v>1</v>
      </c>
      <c r="G90" s="227"/>
      <c r="H90" s="227"/>
      <c r="I90" s="227"/>
      <c r="J90" s="227"/>
      <c r="K90" s="227"/>
      <c r="L90" s="190"/>
      <c r="M90" s="1282"/>
      <c r="N90" s="1282" cm="1" t="str">
        <f t="array" ref="N90:N90">OFFSET(M90,-1,1)</f>
        <v>ТЭ.73.28136693.0002</v>
      </c>
      <c r="O90" s="1283"/>
      <c r="P90" s="1283"/>
      <c r="Q90" s="1283"/>
      <c r="R90" s="1283"/>
      <c r="S90" s="1642"/>
      <c r="T90" s="805">
        <f>AND(F90&gt;0,method_reg="Метод обеспечения доходности инвестированного капитала")</f>
        <v>0</v>
      </c>
      <c r="U90" s="1437"/>
      <c r="V90" s="1437"/>
      <c r="W90" s="1437"/>
      <c r="X90" s="1437"/>
      <c r="Y90" s="1437"/>
      <c r="Z90" s="1437"/>
      <c r="AA90" s="227"/>
      <c r="AB90" s="311" t="s">
        <v>745</v>
      </c>
      <c r="AC90" s="312" t="s">
        <v>1585</v>
      </c>
      <c r="AD90" s="309" t="s">
        <v>799</v>
      </c>
      <c r="AE90" s="122"/>
      <c r="AF90" s="122"/>
      <c r="AG90" s="122"/>
      <c r="AH90" s="307">
        <f>AG90-AF90</f>
        <v>0</v>
      </c>
      <c r="AI90" s="122"/>
      <c r="AJ90" s="614"/>
      <c r="AK90" s="1979"/>
      <c r="AL90" s="1979"/>
      <c r="AM90" s="122"/>
      <c r="AN90" s="122"/>
      <c r="AO90" s="122"/>
      <c r="AP90" s="122"/>
      <c r="AQ90" s="122"/>
      <c r="AR90" s="122"/>
      <c r="AS90" s="122"/>
      <c r="AT90" s="614"/>
      <c r="AU90" s="1979"/>
      <c r="AV90" s="1979"/>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1586</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M11487::ТЭ.73.28136693.0002::Неопределено::Неопределено::Неопределено::Неопределено::Неопределено</v>
      </c>
    </row>
    <row s="1642" customFormat="1" customHeight="1" ht="16.5" hidden="1">
      <c r="A91" s="225"/>
      <c r="B91" s="925"/>
      <c r="C91" s="1299" t="s">
        <v>1587</v>
      </c>
      <c r="D91" s="1258" t="s">
        <v>1588</v>
      </c>
      <c r="E91" s="794">
        <v>17.1</v>
      </c>
      <c r="F91" s="920" cm="1" t="str">
        <f t="array" ref="F91:F91">OFFSET(G91,-1,-1)</f>
        <v>1</v>
      </c>
      <c r="G91" s="227"/>
      <c r="H91" s="227"/>
      <c r="I91" s="227"/>
      <c r="J91" s="227"/>
      <c r="K91" s="227"/>
      <c r="L91" s="190"/>
      <c r="M91" s="1282"/>
      <c r="N91" s="1282" cm="1" t="str">
        <f t="array" ref="N91:N91">OFFSET(M91,-1,1)</f>
        <v>ТЭ.73.28136693.0002</v>
      </c>
      <c r="O91" s="1283"/>
      <c r="P91" s="1283"/>
      <c r="Q91" s="1283"/>
      <c r="R91" s="1283"/>
      <c r="S91" s="1642"/>
      <c r="T91" s="805">
        <f>AND(F91&gt;0,method_reg="Метод обеспечения доходности инвестированного капитала")</f>
        <v>0</v>
      </c>
      <c r="U91" s="1437"/>
      <c r="V91" s="1437"/>
      <c r="W91" s="1437"/>
      <c r="X91" s="1437"/>
      <c r="Y91" s="1437"/>
      <c r="Z91" s="1437"/>
      <c r="AA91" s="227"/>
      <c r="AB91" s="311" t="s">
        <v>1273</v>
      </c>
      <c r="AC91" s="312" t="s">
        <v>1589</v>
      </c>
      <c r="AD91" s="309" t="s">
        <v>485</v>
      </c>
      <c r="AE91" s="122"/>
      <c r="AF91" s="122"/>
      <c r="AG91" s="122"/>
      <c r="AH91" s="307">
        <f>AG91-AF91</f>
        <v>0</v>
      </c>
      <c r="AI91" s="122"/>
      <c r="AJ91" s="614"/>
      <c r="AK91" s="1979"/>
      <c r="AL91" s="1979"/>
      <c r="AM91" s="122"/>
      <c r="AN91" s="122"/>
      <c r="AO91" s="122"/>
      <c r="AP91" s="122"/>
      <c r="AQ91" s="122"/>
      <c r="AR91" s="122"/>
      <c r="AS91" s="122"/>
      <c r="AT91" s="614"/>
      <c r="AU91" s="1979"/>
      <c r="AV91" s="1979"/>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1590</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M11488::ТЭ.73.28136693.0002::Неопределено::Неопределено::Неопределено::Неопределено::Неопределено</v>
      </c>
    </row>
    <row s="1642" customFormat="1" customHeight="1" ht="16.5" hidden="1">
      <c r="A92" s="225"/>
      <c r="B92" s="925"/>
      <c r="C92" s="1299" t="s">
        <v>1591</v>
      </c>
      <c r="D92" s="1258" t="s">
        <v>1592</v>
      </c>
      <c r="E92" s="794">
        <v>17.1</v>
      </c>
      <c r="F92" s="920" cm="1" t="str">
        <f t="array" ref="F92:F92">OFFSET(G92,-1,-1)</f>
        <v>1</v>
      </c>
      <c r="G92" s="227"/>
      <c r="H92" s="227"/>
      <c r="I92" s="227"/>
      <c r="J92" s="227"/>
      <c r="K92" s="227"/>
      <c r="L92" s="190"/>
      <c r="M92" s="1282"/>
      <c r="N92" s="1282" cm="1" t="str">
        <f t="array" ref="N92:N92">OFFSET(M92,-1,1)</f>
        <v>ТЭ.73.28136693.0002</v>
      </c>
      <c r="O92" s="1283"/>
      <c r="P92" s="1283"/>
      <c r="Q92" s="1283"/>
      <c r="R92" s="1283"/>
      <c r="S92" s="1642"/>
      <c r="T92" s="805">
        <f>AND(F92&gt;0,method_reg="Метод обеспечения доходности инвестированного капитала")</f>
        <v>0</v>
      </c>
      <c r="U92" s="1437"/>
      <c r="V92" s="1437"/>
      <c r="W92" s="1437"/>
      <c r="X92" s="1437"/>
      <c r="Y92" s="1437"/>
      <c r="Z92" s="1437"/>
      <c r="AA92" s="227"/>
      <c r="AB92" s="311" t="s">
        <v>1276</v>
      </c>
      <c r="AC92" s="129" t="s">
        <v>1593</v>
      </c>
      <c r="AD92" s="309" t="s">
        <v>799</v>
      </c>
      <c r="AE92" s="122"/>
      <c r="AF92" s="122"/>
      <c r="AG92" s="122"/>
      <c r="AH92" s="307">
        <f>AG92-AF92</f>
        <v>0</v>
      </c>
      <c r="AI92" s="122"/>
      <c r="AJ92" s="614"/>
      <c r="AK92" s="1979"/>
      <c r="AL92" s="1979"/>
      <c r="AM92" s="122"/>
      <c r="AN92" s="122"/>
      <c r="AO92" s="122"/>
      <c r="AP92" s="122"/>
      <c r="AQ92" s="122"/>
      <c r="AR92" s="122"/>
      <c r="AS92" s="122"/>
      <c r="AT92" s="614"/>
      <c r="AU92" s="1979"/>
      <c r="AV92" s="1979"/>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1594</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M11489::ТЭ.73.28136693.0002::Неопределено::Неопределено::Неопределено::Неопределено::Неопределено</v>
      </c>
    </row>
    <row s="1642" customFormat="1" customHeight="1" ht="16.5" hidden="1">
      <c r="A93" s="225"/>
      <c r="B93" s="925"/>
      <c r="C93" s="1299" t="s">
        <v>1595</v>
      </c>
      <c r="D93" s="1258" t="s">
        <v>1596</v>
      </c>
      <c r="E93" s="794">
        <v>17.1</v>
      </c>
      <c r="F93" s="920" cm="1" t="str">
        <f t="array" ref="F93:F93">OFFSET(G93,-1,-1)</f>
        <v>1</v>
      </c>
      <c r="G93" s="227"/>
      <c r="H93" s="227"/>
      <c r="I93" s="227"/>
      <c r="J93" s="227"/>
      <c r="K93" s="227"/>
      <c r="L93" s="190"/>
      <c r="M93" s="1282"/>
      <c r="N93" s="1282" cm="1" t="str">
        <f t="array" ref="N93:N93">OFFSET(M93,-1,1)</f>
        <v>ТЭ.73.28136693.0002</v>
      </c>
      <c r="O93" s="1283"/>
      <c r="P93" s="1283"/>
      <c r="Q93" s="1283"/>
      <c r="R93" s="1283"/>
      <c r="S93" s="1642"/>
      <c r="T93" s="805">
        <f>AND(F93&gt;0,method_reg="Метод обеспечения доходности инвестированного капитала")</f>
        <v>0</v>
      </c>
      <c r="U93" s="1437"/>
      <c r="V93" s="1437"/>
      <c r="W93" s="1437"/>
      <c r="X93" s="1437"/>
      <c r="Y93" s="1437"/>
      <c r="Z93" s="1437"/>
      <c r="AA93" s="227"/>
      <c r="AB93" s="311" t="s">
        <v>1279</v>
      </c>
      <c r="AC93" s="129" t="s">
        <v>1597</v>
      </c>
      <c r="AD93" s="309" t="s">
        <v>799</v>
      </c>
      <c r="AE93" s="122"/>
      <c r="AF93" s="122"/>
      <c r="AG93" s="122"/>
      <c r="AH93" s="307">
        <f>AG93-AF93</f>
        <v>0</v>
      </c>
      <c r="AI93" s="122"/>
      <c r="AJ93" s="614"/>
      <c r="AK93" s="1979"/>
      <c r="AL93" s="1979"/>
      <c r="AM93" s="122"/>
      <c r="AN93" s="122"/>
      <c r="AO93" s="122"/>
      <c r="AP93" s="122"/>
      <c r="AQ93" s="122"/>
      <c r="AR93" s="122"/>
      <c r="AS93" s="122"/>
      <c r="AT93" s="614"/>
      <c r="AU93" s="1979"/>
      <c r="AV93" s="1979"/>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1598</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M11490::ТЭ.73.28136693.0002::Неопределено::Неопределено::Неопределено::Неопределено::Неопределено</v>
      </c>
    </row>
    <row s="1642" customFormat="1" customHeight="1" ht="16.5" hidden="1">
      <c r="A94" s="225"/>
      <c r="B94" s="925"/>
      <c r="C94" s="1299" t="s">
        <v>1599</v>
      </c>
      <c r="D94" s="1258" t="s">
        <v>1600</v>
      </c>
      <c r="E94" s="794">
        <v>17.1</v>
      </c>
      <c r="F94" s="920" cm="1" t="str">
        <f t="array" ref="F94:F94">OFFSET(G94,-1,-1)</f>
        <v>1</v>
      </c>
      <c r="G94" s="227"/>
      <c r="H94" s="227"/>
      <c r="I94" s="227"/>
      <c r="J94" s="227"/>
      <c r="K94" s="227"/>
      <c r="L94" s="190"/>
      <c r="M94" s="1282"/>
      <c r="N94" s="1282" cm="1" t="str">
        <f t="array" ref="N94:N94">OFFSET(M94,-1,1)</f>
        <v>ТЭ.73.28136693.0002</v>
      </c>
      <c r="O94" s="1283"/>
      <c r="P94" s="1283"/>
      <c r="Q94" s="1283"/>
      <c r="R94" s="1283"/>
      <c r="S94" s="1642"/>
      <c r="T94" s="805">
        <f>AND(F94&gt;0,method_reg="Метод обеспечения доходности инвестированного капитала")</f>
        <v>0</v>
      </c>
      <c r="U94" s="1437"/>
      <c r="V94" s="1437"/>
      <c r="W94" s="1437"/>
      <c r="X94" s="1437"/>
      <c r="Y94" s="1437"/>
      <c r="Z94" s="1437"/>
      <c r="AA94" s="227"/>
      <c r="AB94" s="311" t="s">
        <v>1601</v>
      </c>
      <c r="AC94" s="130" t="s">
        <v>1602</v>
      </c>
      <c r="AD94" s="309" t="s">
        <v>485</v>
      </c>
      <c r="AE94" s="122"/>
      <c r="AF94" s="122"/>
      <c r="AG94" s="122"/>
      <c r="AH94" s="307">
        <f>AG94-AF94</f>
        <v>0</v>
      </c>
      <c r="AI94" s="122"/>
      <c r="AJ94" s="614"/>
      <c r="AK94" s="1979"/>
      <c r="AL94" s="1979"/>
      <c r="AM94" s="122"/>
      <c r="AN94" s="122"/>
      <c r="AO94" s="122"/>
      <c r="AP94" s="122"/>
      <c r="AQ94" s="122"/>
      <c r="AR94" s="122"/>
      <c r="AS94" s="122"/>
      <c r="AT94" s="614"/>
      <c r="AU94" s="1979"/>
      <c r="AV94" s="1979"/>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1603</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M11491::ТЭ.73.28136693.0002::Неопределено::Неопределено::Неопределено::Неопределено::Неопределено</v>
      </c>
    </row>
    <row s="1642" customFormat="1" customHeight="1" ht="16.5" hidden="1">
      <c r="A95" s="225"/>
      <c r="B95" s="925"/>
      <c r="C95" s="1299" t="s">
        <v>1604</v>
      </c>
      <c r="D95" s="1258" t="s">
        <v>1605</v>
      </c>
      <c r="E95" s="794">
        <v>17.1</v>
      </c>
      <c r="F95" s="920" cm="1" t="str">
        <f t="array" ref="F95:F95">OFFSET(G95,-1,-1)</f>
        <v>1</v>
      </c>
      <c r="G95" s="227"/>
      <c r="H95" s="227"/>
      <c r="I95" s="227"/>
      <c r="J95" s="227"/>
      <c r="K95" s="227"/>
      <c r="L95" s="190"/>
      <c r="M95" s="1282"/>
      <c r="N95" s="1282" cm="1" t="str">
        <f t="array" ref="N95:N95">OFFSET(M95,-1,1)</f>
        <v>ТЭ.73.28136693.0002</v>
      </c>
      <c r="O95" s="1283"/>
      <c r="P95" s="1283"/>
      <c r="Q95" s="1283"/>
      <c r="R95" s="1283"/>
      <c r="S95" s="1642"/>
      <c r="T95" s="805">
        <f>AND(F95&gt;0,method_reg="Метод обеспечения доходности инвестированного капитала")</f>
        <v>0</v>
      </c>
      <c r="U95" s="1437"/>
      <c r="V95" s="1437"/>
      <c r="W95" s="1437"/>
      <c r="X95" s="1437"/>
      <c r="Y95" s="1437"/>
      <c r="Z95" s="1437"/>
      <c r="AA95" s="227"/>
      <c r="AB95" s="311" t="s">
        <v>1282</v>
      </c>
      <c r="AC95" s="129" t="s">
        <v>1606</v>
      </c>
      <c r="AD95" s="309" t="s">
        <v>485</v>
      </c>
      <c r="AE95" s="122"/>
      <c r="AF95" s="122"/>
      <c r="AG95" s="122"/>
      <c r="AH95" s="307">
        <f>AG95-AF95</f>
        <v>0</v>
      </c>
      <c r="AI95" s="122"/>
      <c r="AJ95" s="614"/>
      <c r="AK95" s="1979"/>
      <c r="AL95" s="1979"/>
      <c r="AM95" s="122"/>
      <c r="AN95" s="122"/>
      <c r="AO95" s="122"/>
      <c r="AP95" s="122"/>
      <c r="AQ95" s="122"/>
      <c r="AR95" s="122"/>
      <c r="AS95" s="122"/>
      <c r="AT95" s="614"/>
      <c r="AU95" s="1979"/>
      <c r="AV95" s="1979"/>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1607</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M11493::ТЭ.73.28136693.0002::Неопределено::Неопределено::Неопределено::Неопределено::Неопределено</v>
      </c>
    </row>
    <row s="1642" customFormat="1" customHeight="1" ht="16.5" hidden="1">
      <c r="A96" s="225"/>
      <c r="B96" s="925"/>
      <c r="C96" s="1299" t="s">
        <v>1608</v>
      </c>
      <c r="D96" s="1258" t="s">
        <v>1609</v>
      </c>
      <c r="E96" s="794">
        <v>17.1</v>
      </c>
      <c r="F96" s="920" cm="1" t="str">
        <f t="array" ref="F96:F96">OFFSET(G96,-1,-1)</f>
        <v>1</v>
      </c>
      <c r="G96" s="227"/>
      <c r="H96" s="227"/>
      <c r="I96" s="227"/>
      <c r="J96" s="227"/>
      <c r="K96" s="227"/>
      <c r="L96" s="190"/>
      <c r="M96" s="1282"/>
      <c r="N96" s="1282" cm="1" t="str">
        <f t="array" ref="N96:N96">OFFSET(M96,-1,1)</f>
        <v>ТЭ.73.28136693.0002</v>
      </c>
      <c r="O96" s="1283"/>
      <c r="P96" s="1283"/>
      <c r="Q96" s="1283"/>
      <c r="R96" s="1283"/>
      <c r="S96" s="1642"/>
      <c r="T96" s="805">
        <f>AND(F96&gt;0,method_reg="Метод обеспечения доходности инвестированного капитала")</f>
        <v>0</v>
      </c>
      <c r="U96" s="1437"/>
      <c r="V96" s="1437"/>
      <c r="W96" s="1437"/>
      <c r="X96" s="1437"/>
      <c r="Y96" s="1437"/>
      <c r="Z96" s="1437"/>
      <c r="AA96" s="227"/>
      <c r="AB96" s="311" t="s">
        <v>1610</v>
      </c>
      <c r="AC96" s="130" t="s">
        <v>1611</v>
      </c>
      <c r="AD96" s="309" t="s">
        <v>485</v>
      </c>
      <c r="AE96" s="122"/>
      <c r="AF96" s="122"/>
      <c r="AG96" s="122"/>
      <c r="AH96" s="307">
        <f>AG96-AF96</f>
        <v>0</v>
      </c>
      <c r="AI96" s="122"/>
      <c r="AJ96" s="614"/>
      <c r="AK96" s="1979"/>
      <c r="AL96" s="1979"/>
      <c r="AM96" s="122"/>
      <c r="AN96" s="122"/>
      <c r="AO96" s="122"/>
      <c r="AP96" s="122"/>
      <c r="AQ96" s="122"/>
      <c r="AR96" s="122"/>
      <c r="AS96" s="122"/>
      <c r="AT96" s="614"/>
      <c r="AU96" s="1979"/>
      <c r="AV96" s="1979"/>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1612</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M11494::ТЭ.73.28136693.0002::Неопределено::Неопределено::Неопределено::Неопределено::Неопределено</v>
      </c>
    </row>
    <row s="1642" customFormat="1" customHeight="1" ht="16.5" hidden="1">
      <c r="A97" s="225"/>
      <c r="B97" s="925"/>
      <c r="C97" s="1299" t="s">
        <v>1613</v>
      </c>
      <c r="D97" s="1258" t="s">
        <v>1614</v>
      </c>
      <c r="E97" s="794">
        <v>17.1</v>
      </c>
      <c r="F97" s="920" cm="1" t="str">
        <f t="array" ref="F97:F97">OFFSET(G97,-1,-1)</f>
        <v>1</v>
      </c>
      <c r="G97" s="227"/>
      <c r="H97" s="227"/>
      <c r="I97" s="227"/>
      <c r="J97" s="227"/>
      <c r="K97" s="227"/>
      <c r="L97" s="190"/>
      <c r="M97" s="1282"/>
      <c r="N97" s="1282" cm="1" t="str">
        <f t="array" ref="N97:N97">OFFSET(M97,-1,1)</f>
        <v>ТЭ.73.28136693.0002</v>
      </c>
      <c r="O97" s="1283"/>
      <c r="P97" s="1283"/>
      <c r="Q97" s="1283"/>
      <c r="R97" s="1283"/>
      <c r="S97" s="1642"/>
      <c r="T97" s="805">
        <f>AND(F97&gt;0,method_reg="Метод обеспечения доходности инвестированного капитала")</f>
        <v>0</v>
      </c>
      <c r="U97" s="1437"/>
      <c r="V97" s="1437"/>
      <c r="W97" s="1437"/>
      <c r="X97" s="1437"/>
      <c r="Y97" s="1437"/>
      <c r="Z97" s="1437"/>
      <c r="AA97" s="227"/>
      <c r="AB97" s="311" t="s">
        <v>1615</v>
      </c>
      <c r="AC97" s="130" t="s">
        <v>1616</v>
      </c>
      <c r="AD97" s="309" t="s">
        <v>485</v>
      </c>
      <c r="AE97" s="122"/>
      <c r="AF97" s="122"/>
      <c r="AG97" s="122"/>
      <c r="AH97" s="307">
        <f>AG97-AF97</f>
        <v>0</v>
      </c>
      <c r="AI97" s="122"/>
      <c r="AJ97" s="614"/>
      <c r="AK97" s="1979"/>
      <c r="AL97" s="1979"/>
      <c r="AM97" s="122"/>
      <c r="AN97" s="122"/>
      <c r="AO97" s="122"/>
      <c r="AP97" s="122"/>
      <c r="AQ97" s="122"/>
      <c r="AR97" s="122"/>
      <c r="AS97" s="122"/>
      <c r="AT97" s="614"/>
      <c r="AU97" s="1979"/>
      <c r="AV97" s="1979"/>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1617</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M11495::ТЭ.73.28136693.0002::Неопределено::Неопределено::Неопределено::Неопределено::Неопределено</v>
      </c>
    </row>
    <row s="1642" customFormat="1" customHeight="1" ht="16.5">
      <c r="A98" s="225"/>
      <c r="B98" s="925"/>
      <c r="C98" s="1299" t="s">
        <v>1618</v>
      </c>
      <c r="D98" s="1258" t="s">
        <v>1619</v>
      </c>
      <c r="E98" s="794">
        <v>17.1</v>
      </c>
      <c r="F98" s="920" cm="1" t="str">
        <f t="array" ref="F98:F98">OFFSET(G98,-1,-1)</f>
        <v>1</v>
      </c>
      <c r="G98" s="190" t="s">
        <v>1465</v>
      </c>
      <c r="H98" s="227"/>
      <c r="I98" s="227"/>
      <c r="J98" s="227"/>
      <c r="K98" s="227"/>
      <c r="L98" s="190"/>
      <c r="M98" s="1282"/>
      <c r="N98" s="1282" cm="1" t="str">
        <f t="array" ref="N98:N98">OFFSET(M98,-1,1)</f>
        <v>ТЭ.73.28136693.0002</v>
      </c>
      <c r="O98" s="1283"/>
      <c r="P98" s="1283"/>
      <c r="Q98" s="1283"/>
      <c r="R98" s="1283"/>
      <c r="S98" s="1642"/>
      <c r="T98" s="805">
        <f>AND(F98&gt;0,method_reg="Метод индексации")</f>
        <v>1</v>
      </c>
      <c r="U98" s="1437"/>
      <c r="V98" s="1437"/>
      <c r="W98" s="1437"/>
      <c r="X98" s="1437"/>
      <c r="Y98" s="1437"/>
      <c r="Z98" s="1437"/>
      <c r="AA98" s="227"/>
      <c r="AB98" s="157" t="s">
        <v>618</v>
      </c>
      <c r="AC98" s="610" t="s">
        <v>1467</v>
      </c>
      <c r="AD98" s="485" t="s">
        <v>986</v>
      </c>
      <c r="AE98" s="1981">
        <f>AE99+AE100+AE101</f>
        <v>1499.77</v>
      </c>
      <c r="AF98" s="1981">
        <f>AF99+AF100+AF101</f>
        <v>5809.64</v>
      </c>
      <c r="AG98" s="1981">
        <f>AG99+AG100+AG101</f>
        <v>5318.38</v>
      </c>
      <c r="AH98" s="307">
        <f>AG98-AF98</f>
        <v>-491.26</v>
      </c>
      <c r="AI98" s="1981">
        <f>AI99+AI100+AI101</f>
        <v>4252.4</v>
      </c>
      <c r="AJ98" s="614">
        <f>AJ99+AJ100+AJ101</f>
        <v>7101.59</v>
      </c>
      <c r="AK98" s="1979">
        <f>AK99+AK100+AK101</f>
        <v>0</v>
      </c>
      <c r="AL98" s="1979">
        <f>AL99+AL100+AL101</f>
        <v>0</v>
      </c>
      <c r="AM98" s="1981">
        <f>AM99+AM100+AM101</f>
        <v>0</v>
      </c>
      <c r="AN98" s="1981">
        <f>AN99+AN100+AN101</f>
        <v>0</v>
      </c>
      <c r="AO98" s="1981">
        <f>AO99+AO100+AO101</f>
        <v>0</v>
      </c>
      <c r="AP98" s="1981">
        <f>AP99+AP100+AP101</f>
        <v>0</v>
      </c>
      <c r="AQ98" s="1981">
        <f>AQ99+AQ100+AQ101</f>
        <v>0</v>
      </c>
      <c r="AR98" s="1981">
        <f>AR99+AR100+AR101</f>
        <v>0</v>
      </c>
      <c r="AS98" s="1981">
        <f>AS99+AS100+AS101</f>
        <v>0</v>
      </c>
      <c r="AT98" s="614">
        <f>AT99+AT100+AT101</f>
        <v>6589.21</v>
      </c>
      <c r="AU98" s="1979">
        <f>AU99+AU100+AU101</f>
        <v>0</v>
      </c>
      <c r="AV98" s="1979">
        <f>AV99+AV100+AV101</f>
        <v>0</v>
      </c>
      <c r="AW98" s="1981">
        <f>AW99+AW100+AW101</f>
        <v>0</v>
      </c>
      <c r="AX98" s="1981">
        <f>AX99+AX100+AX101</f>
        <v>0</v>
      </c>
      <c r="AY98" s="1981">
        <f>AY99+AY100+AY101</f>
        <v>0</v>
      </c>
      <c r="AZ98" s="1981">
        <f>AZ99+AZ100+AZ101</f>
        <v>0</v>
      </c>
      <c r="BA98" s="1981">
        <f>BA99+BA100+BA101</f>
        <v>0</v>
      </c>
      <c r="BB98" s="1981">
        <f>BB99+BB100+BB101</f>
        <v>0</v>
      </c>
      <c r="BC98" s="1981">
        <f>BC99+BC100+BC101</f>
        <v>0</v>
      </c>
      <c r="BD98" s="307">
        <f>IF(AI98=0,0,(AT98-AI98)/AI98*100)</f>
        <v>54.9527325745461</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92"/>
      <c r="BO98" s="1792"/>
      <c r="BP98" s="1792"/>
      <c r="BQ98" s="227"/>
      <c r="BR98" s="227"/>
      <c r="BS98" s="1233" t="s">
        <v>1468</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M10606::ТЭ.73.28136693.0002::Неопределено::Неопределено::Неопределено::Неопределено::Неопределено</v>
      </c>
    </row>
    <row s="1642" customFormat="1" customHeight="1" ht="58.5">
      <c r="A99" s="225"/>
      <c r="B99" s="925"/>
      <c r="C99" s="1299" t="s">
        <v>1620</v>
      </c>
      <c r="D99" s="1258" t="s">
        <v>1621</v>
      </c>
      <c r="E99" s="794">
        <v>60</v>
      </c>
      <c r="F99" s="920" cm="1" t="str">
        <f t="array" ref="F99:F99">OFFSET(G99,-1,-1)</f>
        <v>1</v>
      </c>
      <c r="G99" s="227"/>
      <c r="H99" s="227"/>
      <c r="I99" s="227"/>
      <c r="J99" s="227"/>
      <c r="K99" s="227"/>
      <c r="L99" s="190"/>
      <c r="M99" s="1282"/>
      <c r="N99" s="1282" cm="1" t="str">
        <f t="array" ref="N99:N99">OFFSET(M99,-1,1)</f>
        <v>ТЭ.73.28136693.0002</v>
      </c>
      <c r="O99" s="1283"/>
      <c r="P99" s="1283"/>
      <c r="Q99" s="1283"/>
      <c r="R99" s="1283"/>
      <c r="S99" s="1642"/>
      <c r="T99" s="805">
        <f>AND(F99&gt;0,method_reg="Метод индексации")</f>
        <v>1</v>
      </c>
      <c r="U99" s="1437"/>
      <c r="V99" s="1437"/>
      <c r="W99" s="1437"/>
      <c r="X99" s="1437"/>
      <c r="Y99" s="1437"/>
      <c r="Z99" s="1437"/>
      <c r="AA99" s="227"/>
      <c r="AB99" s="157" t="s">
        <v>740</v>
      </c>
      <c r="AC99" s="1023" t="s">
        <v>1622</v>
      </c>
      <c r="AD99" s="485" t="s">
        <v>1368</v>
      </c>
      <c r="AE99" s="1981">
        <v>1499.77</v>
      </c>
      <c r="AF99" s="1981">
        <v>5318.38</v>
      </c>
      <c r="AG99" s="1981" cm="1" t="str">
        <f t="array" ref="AG99:AG99">AF99</f>
        <v>5318.38</v>
      </c>
      <c r="AH99" s="307">
        <f>AG99-AF99</f>
        <v>0</v>
      </c>
      <c r="AI99" s="1981">
        <v>4252.4</v>
      </c>
      <c r="AJ99" s="614">
        <v>6589.21</v>
      </c>
      <c r="AK99" s="1979"/>
      <c r="AL99" s="1979"/>
      <c r="AM99" s="1981"/>
      <c r="AN99" s="1981"/>
      <c r="AO99" s="1981"/>
      <c r="AP99" s="1981"/>
      <c r="AQ99" s="1981"/>
      <c r="AR99" s="1981"/>
      <c r="AS99" s="1981"/>
      <c r="AT99" s="614">
        <v>6589.21</v>
      </c>
      <c r="AU99" s="1979"/>
      <c r="AV99" s="1979"/>
      <c r="AW99" s="1981"/>
      <c r="AX99" s="1981"/>
      <c r="AY99" s="1981"/>
      <c r="AZ99" s="1981"/>
      <c r="BA99" s="1981"/>
      <c r="BB99" s="1981"/>
      <c r="BC99" s="1981"/>
      <c r="BD99" s="307">
        <f>IF(AI99=0,0,(AT99-AI99)/AI99*100)</f>
        <v>54.9527325745461</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92"/>
      <c r="BO99" s="1792"/>
      <c r="BP99" s="1792"/>
      <c r="BQ99" s="227"/>
      <c r="BR99" s="227"/>
      <c r="BS99" s="1233" t="s">
        <v>1623</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M10614::ТЭ.73.28136693.0002::Неопределено::Неопределено::Неопределено::Неопределено::Неопределено</v>
      </c>
    </row>
    <row s="1642" customFormat="1" customHeight="1" ht="29.25">
      <c r="A100" s="225"/>
      <c r="B100" s="925"/>
      <c r="C100" s="1299" t="s">
        <v>1624</v>
      </c>
      <c r="D100" s="1258" t="s">
        <v>1625</v>
      </c>
      <c r="E100" s="794">
        <v>30</v>
      </c>
      <c r="F100" s="920" cm="1" t="str">
        <f t="array" ref="F100:F100">OFFSET(G100,-1,-1)</f>
        <v>1</v>
      </c>
      <c r="G100" s="227"/>
      <c r="H100" s="227"/>
      <c r="I100" s="227"/>
      <c r="J100" s="227"/>
      <c r="K100" s="227"/>
      <c r="L100" s="190"/>
      <c r="M100" s="1282"/>
      <c r="N100" s="1282" cm="1" t="str">
        <f t="array" ref="N100:N100">OFFSET(M100,-1,1)</f>
        <v>ТЭ.73.28136693.0002</v>
      </c>
      <c r="O100" s="1283"/>
      <c r="P100" s="1283"/>
      <c r="Q100" s="1283"/>
      <c r="R100" s="1283"/>
      <c r="S100" s="1642"/>
      <c r="T100" s="805">
        <f>AND(F100&gt;0,method_reg="Метод индексации")</f>
        <v>1</v>
      </c>
      <c r="U100" s="1437"/>
      <c r="V100" s="1437"/>
      <c r="W100" s="1437"/>
      <c r="X100" s="1437"/>
      <c r="Y100" s="1437"/>
      <c r="Z100" s="1437"/>
      <c r="AA100" s="227"/>
      <c r="AB100" s="157" t="s">
        <v>1575</v>
      </c>
      <c r="AC100" s="610" t="s">
        <v>1626</v>
      </c>
      <c r="AD100" s="485" t="s">
        <v>1368</v>
      </c>
      <c r="AE100" s="1981"/>
      <c r="AF100" s="1981"/>
      <c r="AG100" s="1981"/>
      <c r="AH100" s="307">
        <f>AG100-AF100</f>
        <v>0</v>
      </c>
      <c r="AI100" s="1981"/>
      <c r="AJ100" s="614"/>
      <c r="AK100" s="1979"/>
      <c r="AL100" s="1979"/>
      <c r="AM100" s="1981"/>
      <c r="AN100" s="1981"/>
      <c r="AO100" s="1981"/>
      <c r="AP100" s="1981"/>
      <c r="AQ100" s="1981"/>
      <c r="AR100" s="1981"/>
      <c r="AS100" s="1981"/>
      <c r="AT100" s="614"/>
      <c r="AU100" s="1979"/>
      <c r="AV100" s="1979"/>
      <c r="AW100" s="1981"/>
      <c r="AX100" s="1981"/>
      <c r="AY100" s="1981"/>
      <c r="AZ100" s="1981"/>
      <c r="BA100" s="1981"/>
      <c r="BB100" s="1981"/>
      <c r="BC100" s="1981"/>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92"/>
      <c r="BO100" s="1792"/>
      <c r="BP100" s="1792"/>
      <c r="BQ100" s="227"/>
      <c r="BR100" s="227"/>
      <c r="BS100" s="1233" t="s">
        <v>1627</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M10608::ТЭ.73.28136693.0002::Неопределено::Неопределено::Неопределено::Неопределено::Неопределено</v>
      </c>
    </row>
    <row s="1642" customFormat="1" customHeight="1" ht="43.5">
      <c r="A101" s="225"/>
      <c r="B101" s="925"/>
      <c r="C101" s="1299" t="s">
        <v>1628</v>
      </c>
      <c r="D101" s="1258" t="s">
        <v>1629</v>
      </c>
      <c r="E101" s="794">
        <v>45</v>
      </c>
      <c r="F101" s="920" cm="1" t="str">
        <f t="array" ref="F101:F101">OFFSET(G101,-1,-1)</f>
        <v>1</v>
      </c>
      <c r="G101" s="227"/>
      <c r="H101" s="227"/>
      <c r="I101" s="227"/>
      <c r="J101" s="227"/>
      <c r="K101" s="227"/>
      <c r="L101" s="190"/>
      <c r="M101" s="1282"/>
      <c r="N101" s="1282" cm="1" t="str">
        <f t="array" ref="N101:N101">OFFSET(M101,-1,1)</f>
        <v>ТЭ.73.28136693.0002</v>
      </c>
      <c r="O101" s="1283"/>
      <c r="P101" s="1283"/>
      <c r="Q101" s="1283"/>
      <c r="R101" s="1283"/>
      <c r="S101" s="1642"/>
      <c r="T101" s="805">
        <f>AND(F101&gt;0,method_reg="Метод индексации")</f>
        <v>1</v>
      </c>
      <c r="U101" s="1437"/>
      <c r="V101" s="1437"/>
      <c r="W101" s="1437"/>
      <c r="X101" s="1437"/>
      <c r="Y101" s="1437"/>
      <c r="Z101" s="1437"/>
      <c r="AA101" s="227"/>
      <c r="AB101" s="157" t="s">
        <v>1630</v>
      </c>
      <c r="AC101" s="610" t="s">
        <v>1631</v>
      </c>
      <c r="AD101" s="485" t="s">
        <v>1368</v>
      </c>
      <c r="AE101" s="1981"/>
      <c r="AF101" s="1981">
        <v>491.26</v>
      </c>
      <c r="AG101" s="1981"/>
      <c r="AH101" s="307">
        <f>AG101-AF101</f>
        <v>-491.26</v>
      </c>
      <c r="AI101" s="1981"/>
      <c r="AJ101" s="614">
        <v>512.38</v>
      </c>
      <c r="AK101" s="1979"/>
      <c r="AL101" s="1979"/>
      <c r="AM101" s="1981"/>
      <c r="AN101" s="1981"/>
      <c r="AO101" s="1981"/>
      <c r="AP101" s="1981"/>
      <c r="AQ101" s="1981"/>
      <c r="AR101" s="1981"/>
      <c r="AS101" s="1981"/>
      <c r="AT101" s="614"/>
      <c r="AU101" s="1979"/>
      <c r="AV101" s="1979"/>
      <c r="AW101" s="1981"/>
      <c r="AX101" s="1981"/>
      <c r="AY101" s="1981"/>
      <c r="AZ101" s="1981"/>
      <c r="BA101" s="1981"/>
      <c r="BB101" s="1981"/>
      <c r="BC101" s="1981"/>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92"/>
      <c r="BO101" s="1792"/>
      <c r="BP101" s="1792"/>
      <c r="BQ101" s="227"/>
      <c r="BR101" s="227"/>
      <c r="BS101" s="1233" t="s">
        <v>1632</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M10610::ТЭ.73.28136693.0002::Неопределено::Неопределено::Неопределено::Неопределено::Неопределено</v>
      </c>
    </row>
    <row s="1642" customFormat="1" customHeight="1" ht="14.25">
      <c r="A102" s="225"/>
      <c r="B102" s="925"/>
      <c r="C102" s="1299" t="s">
        <v>1633</v>
      </c>
      <c r="D102" s="1258" t="s">
        <v>1634</v>
      </c>
      <c r="E102" s="794">
        <v>15</v>
      </c>
      <c r="F102" s="920" cm="1" t="str">
        <f t="array" ref="F102:F102">OFFSET(G102,-1,-1)</f>
        <v>1</v>
      </c>
      <c r="G102" s="190" t="s">
        <v>1472</v>
      </c>
      <c r="H102" s="227"/>
      <c r="I102" s="227"/>
      <c r="J102" s="227"/>
      <c r="K102" s="227"/>
      <c r="L102" s="190"/>
      <c r="M102" s="1282"/>
      <c r="N102" s="1282" cm="1" t="str">
        <f t="array" ref="N102:N102">OFFSET(M102,-1,1)</f>
        <v>ТЭ.73.28136693.0002</v>
      </c>
      <c r="O102" s="1283"/>
      <c r="P102" s="1283"/>
      <c r="Q102" s="1283"/>
      <c r="R102" s="1283"/>
      <c r="S102" s="1642"/>
      <c r="T102" s="805">
        <f>AND(F102&gt;0,method_reg="Метод индексации")</f>
        <v>1</v>
      </c>
      <c r="U102" s="1437"/>
      <c r="V102" s="1437"/>
      <c r="W102" s="1437"/>
      <c r="X102" s="1437"/>
      <c r="Y102" s="1437"/>
      <c r="Z102" s="1437"/>
      <c r="AA102" s="227"/>
      <c r="AB102" s="157" t="s">
        <v>623</v>
      </c>
      <c r="AC102" s="610" t="s">
        <v>1474</v>
      </c>
      <c r="AD102" s="485" t="s">
        <v>986</v>
      </c>
      <c r="AE102" s="1981"/>
      <c r="AF102" s="1981"/>
      <c r="AG102" s="1981"/>
      <c r="AH102" s="307">
        <f>AG102-AF102</f>
        <v>0</v>
      </c>
      <c r="AI102" s="1981"/>
      <c r="AJ102" s="614">
        <v>5554.19</v>
      </c>
      <c r="AK102" s="1979"/>
      <c r="AL102" s="1979"/>
      <c r="AM102" s="1981"/>
      <c r="AN102" s="1981"/>
      <c r="AO102" s="1981"/>
      <c r="AP102" s="1981"/>
      <c r="AQ102" s="1981"/>
      <c r="AR102" s="1981"/>
      <c r="AS102" s="1981"/>
      <c r="AT102" s="614"/>
      <c r="AU102" s="1979"/>
      <c r="AV102" s="1979"/>
      <c r="AW102" s="1981"/>
      <c r="AX102" s="1981"/>
      <c r="AY102" s="1981"/>
      <c r="AZ102" s="1981"/>
      <c r="BA102" s="1981"/>
      <c r="BB102" s="1981"/>
      <c r="BC102" s="1981"/>
      <c r="BD102" s="307">
        <f>IF(AI102=0,0,(AT102-AI102)/AI102*100)</f>
        <v>0</v>
      </c>
      <c r="BE102" s="307">
        <f>IF(AT102=0,0,(AU102-AT102)/AT102*100)</f>
        <v>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92"/>
      <c r="BO102" s="1792"/>
      <c r="BP102" s="1792"/>
      <c r="BQ102" s="227"/>
      <c r="BR102" s="227"/>
      <c r="BS102" s="1233" t="s">
        <v>1635</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M11281::ТЭ.73.28136693.0002::Неопределено::Неопределено::Неопределено::Неопределено::Неопределено</v>
      </c>
    </row>
    <row s="1642" customFormat="1" customHeight="1" ht="14.25">
      <c r="A103" s="225"/>
      <c r="B103" s="925"/>
      <c r="C103" s="1299" t="s">
        <v>1636</v>
      </c>
      <c r="D103" s="1258" t="s">
        <v>1637</v>
      </c>
      <c r="E103" s="794">
        <v>15</v>
      </c>
      <c r="F103" s="920" cm="1" t="str">
        <f t="array" ref="F103:F103">OFFSET(G103,-1,-1)</f>
        <v>1</v>
      </c>
      <c r="G103" s="227"/>
      <c r="H103" s="227"/>
      <c r="I103" s="227"/>
      <c r="J103" s="227"/>
      <c r="K103" s="227"/>
      <c r="L103" s="190"/>
      <c r="M103" s="1282"/>
      <c r="N103" s="1282" cm="1" t="str">
        <f t="array" ref="N103:N103">OFFSET(M103,-1,1)</f>
        <v>ТЭ.73.28136693.0002</v>
      </c>
      <c r="O103" s="1283"/>
      <c r="P103" s="1283"/>
      <c r="Q103" s="1283"/>
      <c r="R103" s="1283"/>
      <c r="S103" s="1642"/>
      <c r="T103" s="805">
        <f>AND(F103&gt;0,method_reg="Метод индексации")</f>
        <v>1</v>
      </c>
      <c r="U103" s="1437"/>
      <c r="V103" s="1437"/>
      <c r="W103" s="1437"/>
      <c r="X103" s="1437"/>
      <c r="Y103" s="1437"/>
      <c r="Z103" s="1437"/>
      <c r="AA103" s="227"/>
      <c r="AB103" s="157" t="s">
        <v>745</v>
      </c>
      <c r="AC103" s="162" t="s">
        <v>1470</v>
      </c>
      <c r="AD103" s="485" t="s">
        <v>485</v>
      </c>
      <c r="AE103" s="1968"/>
      <c r="AF103" s="1968"/>
      <c r="AG103" s="1968"/>
      <c r="AH103" s="307">
        <f>AG103-AF103</f>
        <v>0</v>
      </c>
      <c r="AI103" s="1968"/>
      <c r="AJ103" s="1133"/>
      <c r="AK103" s="1959"/>
      <c r="AL103" s="1959"/>
      <c r="AM103" s="1968"/>
      <c r="AN103" s="1968"/>
      <c r="AO103" s="1968"/>
      <c r="AP103" s="1968"/>
      <c r="AQ103" s="1968"/>
      <c r="AR103" s="1968"/>
      <c r="AS103" s="1968"/>
      <c r="AT103" s="1133"/>
      <c r="AU103" s="1959"/>
      <c r="AV103" s="1959"/>
      <c r="AW103" s="1968"/>
      <c r="AX103" s="1968"/>
      <c r="AY103" s="1968"/>
      <c r="AZ103" s="1968"/>
      <c r="BA103" s="1968"/>
      <c r="BB103" s="1968"/>
      <c r="BC103" s="1968"/>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92"/>
      <c r="BO103" s="1792"/>
      <c r="BP103" s="1792"/>
      <c r="BQ103" s="227"/>
      <c r="BR103" s="227"/>
      <c r="BS103" s="1233" t="s">
        <v>1638</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M10607::ТЭ.73.28136693.0002::Неопределено::Неопределено::Неопределено::Неопределено::Неопределено</v>
      </c>
    </row>
    <row s="1642" customFormat="1" customHeight="1" ht="28.5">
      <c r="A104" s="225"/>
      <c r="B104" s="925"/>
      <c r="C104" s="1299" t="s">
        <v>1639</v>
      </c>
      <c r="D104" s="1258" t="s">
        <v>1640</v>
      </c>
      <c r="E104" s="794">
        <v>29.3</v>
      </c>
      <c r="F104" s="920" cm="1" t="str">
        <f t="array" ref="F104:F104">OFFSET(G104,-1,-1)</f>
        <v>1</v>
      </c>
      <c r="G104" s="190">
        <v>6</v>
      </c>
      <c r="H104" s="227"/>
      <c r="I104" s="227"/>
      <c r="J104" s="227"/>
      <c r="K104" s="227"/>
      <c r="L104" s="190"/>
      <c r="M104" s="1282"/>
      <c r="N104" s="1282" cm="1" t="str">
        <f t="array" ref="N104:N104">OFFSET(M104,-1,1)</f>
        <v>ТЭ.73.28136693.0002</v>
      </c>
      <c r="O104" s="1283"/>
      <c r="P104" s="1283"/>
      <c r="Q104" s="1283"/>
      <c r="R104" s="1283"/>
      <c r="S104" s="1642"/>
      <c r="T104" s="805">
        <f>F104&gt;0</f>
        <v>1</v>
      </c>
      <c r="U104" s="1437"/>
      <c r="V104" s="1437"/>
      <c r="W104" s="1437"/>
      <c r="X104" s="1437"/>
      <c r="Y104" s="1437"/>
      <c r="Z104" s="1437"/>
      <c r="AA104" s="227"/>
      <c r="AB104" s="157" t="s">
        <v>626</v>
      </c>
      <c r="AC104" s="610" t="s">
        <v>1477</v>
      </c>
      <c r="AD104" s="485" t="s">
        <v>986</v>
      </c>
      <c r="AE104" s="1981"/>
      <c r="AF104" s="1981"/>
      <c r="AG104" s="1981"/>
      <c r="AH104" s="307">
        <f>AG104-AF104</f>
        <v>0</v>
      </c>
      <c r="AI104" s="1981"/>
      <c r="AJ104" s="614"/>
      <c r="AK104" s="1979"/>
      <c r="AL104" s="1979"/>
      <c r="AM104" s="1981"/>
      <c r="AN104" s="1981"/>
      <c r="AO104" s="1981"/>
      <c r="AP104" s="1981"/>
      <c r="AQ104" s="1981"/>
      <c r="AR104" s="1981"/>
      <c r="AS104" s="1981"/>
      <c r="AT104" s="614"/>
      <c r="AU104" s="1979"/>
      <c r="AV104" s="1979"/>
      <c r="AW104" s="1981"/>
      <c r="AX104" s="1981"/>
      <c r="AY104" s="1981"/>
      <c r="AZ104" s="1981"/>
      <c r="BA104" s="1981"/>
      <c r="BB104" s="1981"/>
      <c r="BC104" s="1981"/>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92"/>
      <c r="BO104" s="1792"/>
      <c r="BP104" s="1792"/>
      <c r="BQ104" s="227"/>
      <c r="BR104" s="227"/>
      <c r="BS104" s="1233" t="s">
        <v>1641</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M11584::ТЭ.73.28136693.0002::Неопределено::Неопределено::Неопределено::Неопределено::Неопределено</v>
      </c>
    </row>
    <row s="1642" customFormat="1" customHeight="1" ht="28.5">
      <c r="A105" s="225"/>
      <c r="B105" s="925"/>
      <c r="C105" s="1299" t="s">
        <v>1642</v>
      </c>
      <c r="D105" s="1258" t="s">
        <v>1643</v>
      </c>
      <c r="E105" s="794">
        <v>29.3</v>
      </c>
      <c r="F105" s="920" cm="1" t="str">
        <f t="array" ref="F105:F105">OFFSET(G105,-1,-1)</f>
        <v>1</v>
      </c>
      <c r="G105" s="190" t="s">
        <v>1504</v>
      </c>
      <c r="H105" s="227"/>
      <c r="I105" s="227"/>
      <c r="J105" s="227"/>
      <c r="K105" s="227"/>
      <c r="L105" s="190"/>
      <c r="M105" s="1282"/>
      <c r="N105" s="1282" cm="1" t="str">
        <f t="array" ref="N105:N105">OFFSET(M105,-1,1)</f>
        <v>ТЭ.73.28136693.0002</v>
      </c>
      <c r="O105" s="1283"/>
      <c r="P105" s="1283"/>
      <c r="Q105" s="1283"/>
      <c r="R105" s="1283"/>
      <c r="S105" s="1642"/>
      <c r="T105" s="805" cm="1" t="str">
        <f t="array" ref="T105:T105">T104</f>
        <v>true</v>
      </c>
      <c r="U105" s="1437"/>
      <c r="V105" s="1437"/>
      <c r="W105" s="1437"/>
      <c r="X105" s="1437"/>
      <c r="Y105" s="1437"/>
      <c r="Z105" s="1437"/>
      <c r="AA105" s="227"/>
      <c r="AB105" s="157" t="s">
        <v>645</v>
      </c>
      <c r="AC105" s="738" t="s">
        <v>1644</v>
      </c>
      <c r="AD105" s="485" t="s">
        <v>986</v>
      </c>
      <c r="AE105" s="1981"/>
      <c r="AF105" s="1981"/>
      <c r="AG105" s="1981"/>
      <c r="AH105" s="307">
        <f>AG105-AF105</f>
        <v>0</v>
      </c>
      <c r="AI105" s="1981"/>
      <c r="AJ105" s="614">
        <f>_xlfn.SUMIFS('Корр Факт'!AH$27:AH$122,'Корр Факт'!$F$27:$F$122,$F105,'Корр Факт'!$G$27:$G$122,$G105)</f>
        <v>0</v>
      </c>
      <c r="AK105" s="1979"/>
      <c r="AL105" s="1979"/>
      <c r="AM105" s="1981"/>
      <c r="AN105" s="1981"/>
      <c r="AO105" s="1981"/>
      <c r="AP105" s="1981"/>
      <c r="AQ105" s="1981"/>
      <c r="AR105" s="1981"/>
      <c r="AS105" s="1981"/>
      <c r="AT105" s="614">
        <f>_xlfn.SUMIFS('Корр Факт'!AN$27:AN$122,'Корр Факт'!$F$27:$F$122,$F105,'Корр Факт'!$G$27:$G$122,$G105)</f>
        <v>0</v>
      </c>
      <c r="AU105" s="1979"/>
      <c r="AV105" s="1979"/>
      <c r="AW105" s="1981"/>
      <c r="AX105" s="1981"/>
      <c r="AY105" s="1981"/>
      <c r="AZ105" s="1981"/>
      <c r="BA105" s="1981"/>
      <c r="BB105" s="1981"/>
      <c r="BC105" s="1981"/>
      <c r="BD105" s="307">
        <f>IF(AI105=0,0,(AT105-AI105)/AI105*100)</f>
        <v>0</v>
      </c>
      <c r="BE105" s="307">
        <f>IF(AT105=0,0,(AU105-AT105)/AT105*100)</f>
        <v>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92"/>
      <c r="BO105" s="1792"/>
      <c r="BP105" s="1792"/>
      <c r="BQ105" s="227"/>
      <c r="BR105" s="227"/>
      <c r="BS105" s="1233" t="s">
        <v>1645</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M11585::ТЭ.73.28136693.0002::Неопределено::Неопределено::Неопределено::Неопределено::Неопределено</v>
      </c>
    </row>
    <row s="2012" customFormat="1" customHeight="1" ht="63.75">
      <c r="A106" s="232"/>
      <c r="B106" s="232"/>
      <c r="C106" s="1299" t="s">
        <v>1646</v>
      </c>
      <c r="D106" s="1258" t="s">
        <v>1647</v>
      </c>
      <c r="E106" s="794">
        <v>66</v>
      </c>
      <c r="F106" s="920" cm="1" t="str">
        <f t="array" ref="F106:F106">OFFSET(G106,-1,-1)</f>
        <v>1</v>
      </c>
      <c r="G106" s="232"/>
      <c r="H106" s="232"/>
      <c r="I106" s="232"/>
      <c r="J106" s="232"/>
      <c r="K106" s="232"/>
      <c r="L106" s="232"/>
      <c r="M106" s="1282"/>
      <c r="N106" s="1282" cm="1" t="str">
        <f t="array" ref="N106:N106">OFFSET(M106,-1,1)</f>
        <v>ТЭ.73.28136693.0002</v>
      </c>
      <c r="O106" s="1284"/>
      <c r="P106" s="1284"/>
      <c r="Q106" s="1284"/>
      <c r="R106" s="1284"/>
      <c r="S106" s="232"/>
      <c r="T106" s="805" cm="1" t="str">
        <f t="array" ref="T106:T106">T105</f>
        <v>true</v>
      </c>
      <c r="U106" s="232"/>
      <c r="V106" s="232"/>
      <c r="W106" s="232"/>
      <c r="X106" s="232"/>
      <c r="Y106" s="232"/>
      <c r="Z106" s="232"/>
      <c r="AA106" s="232"/>
      <c r="AB106" s="157" t="s">
        <v>650</v>
      </c>
      <c r="AC106" s="610" t="s">
        <v>1648</v>
      </c>
      <c r="AD106" s="485" t="s">
        <v>986</v>
      </c>
      <c r="AE106" s="1981"/>
      <c r="AF106" s="1981"/>
      <c r="AG106" s="1981"/>
      <c r="AH106" s="307">
        <f>AG106-AF106</f>
        <v>0</v>
      </c>
      <c r="AI106" s="1981"/>
      <c r="AJ106" s="614">
        <v>53117.05</v>
      </c>
      <c r="AK106" s="1979"/>
      <c r="AL106" s="1979"/>
      <c r="AM106" s="1981"/>
      <c r="AN106" s="1981"/>
      <c r="AO106" s="1981"/>
      <c r="AP106" s="1981"/>
      <c r="AQ106" s="1981"/>
      <c r="AR106" s="1981"/>
      <c r="AS106" s="1981"/>
      <c r="AT106" s="614"/>
      <c r="AU106" s="1979"/>
      <c r="AV106" s="1979"/>
      <c r="AW106" s="1981"/>
      <c r="AX106" s="1981"/>
      <c r="AY106" s="1981"/>
      <c r="AZ106" s="1981"/>
      <c r="BA106" s="1981"/>
      <c r="BB106" s="1981"/>
      <c r="BC106" s="1981"/>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92"/>
      <c r="BO106" s="1792"/>
      <c r="BP106" s="1792"/>
      <c r="BQ106" s="232"/>
      <c r="BR106" s="232"/>
      <c r="BS106" s="1233" t="s">
        <v>1481</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M11583::ТЭ.73.28136693.0002::Неопределено::Неопределено::Неопределено::Неопределено::Неопределено</v>
      </c>
    </row>
    <row s="2013" customFormat="1" customHeight="1" ht="32.25">
      <c r="A107" s="232"/>
      <c r="B107" s="232"/>
      <c r="C107" s="1299" t="s">
        <v>1649</v>
      </c>
      <c r="D107" s="1258" t="s">
        <v>1650</v>
      </c>
      <c r="E107" s="794">
        <v>33.8</v>
      </c>
      <c r="F107" s="920" cm="1" t="str">
        <f t="array" ref="F107:F107">OFFSET(G107,-1,-1)</f>
        <v>1</v>
      </c>
      <c r="G107" s="232"/>
      <c r="H107" s="232"/>
      <c r="I107" s="232"/>
      <c r="J107" s="232"/>
      <c r="K107" s="232"/>
      <c r="L107" s="232"/>
      <c r="M107" s="1282"/>
      <c r="N107" s="1282" cm="1" t="str">
        <f t="array" ref="N107:N107">OFFSET(M107,-1,1)</f>
        <v>ТЭ.73.28136693.0002</v>
      </c>
      <c r="O107" s="1284"/>
      <c r="P107" s="1284"/>
      <c r="Q107" s="1284"/>
      <c r="R107" s="1284"/>
      <c r="S107" s="232"/>
      <c r="T107" s="805" cm="1" t="str">
        <f t="array" ref="T107:T107">T106</f>
        <v>true</v>
      </c>
      <c r="U107" s="232"/>
      <c r="V107" s="232"/>
      <c r="W107" s="232"/>
      <c r="X107" s="232"/>
      <c r="Y107" s="232"/>
      <c r="Z107" s="232"/>
      <c r="AA107" s="232"/>
      <c r="AB107" s="157" t="s">
        <v>658</v>
      </c>
      <c r="AC107" s="610" t="s">
        <v>1651</v>
      </c>
      <c r="AD107" s="485" t="s">
        <v>986</v>
      </c>
      <c r="AE107" s="1981"/>
      <c r="AF107" s="1981"/>
      <c r="AG107" s="1981"/>
      <c r="AH107" s="307">
        <f>AG107-AF107</f>
        <v>0</v>
      </c>
      <c r="AI107" s="1981"/>
      <c r="AJ107" s="614"/>
      <c r="AK107" s="1979"/>
      <c r="AL107" s="1979"/>
      <c r="AM107" s="1981"/>
      <c r="AN107" s="1981"/>
      <c r="AO107" s="1981"/>
      <c r="AP107" s="1981"/>
      <c r="AQ107" s="1981"/>
      <c r="AR107" s="1981"/>
      <c r="AS107" s="1981"/>
      <c r="AT107" s="614"/>
      <c r="AU107" s="1979"/>
      <c r="AV107" s="1979"/>
      <c r="AW107" s="1981"/>
      <c r="AX107" s="1981"/>
      <c r="AY107" s="1981"/>
      <c r="AZ107" s="1981"/>
      <c r="BA107" s="1981"/>
      <c r="BB107" s="1981"/>
      <c r="BC107" s="1981"/>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92"/>
      <c r="BO107" s="1792"/>
      <c r="BP107" s="1792"/>
      <c r="BQ107" s="232"/>
      <c r="BR107" s="232"/>
      <c r="BS107" s="1233" t="s">
        <v>1652</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M10742::ТЭ.73.28136693.0002::Неопределено::Неопределено::Неопределено::Неопределено::Неопределено</v>
      </c>
    </row>
    <row s="1642" customFormat="1" customHeight="1" ht="61.5">
      <c r="A108" s="225"/>
      <c r="B108" s="925"/>
      <c r="C108" s="1299" t="s">
        <v>1653</v>
      </c>
      <c r="D108" s="1258" t="s">
        <v>1654</v>
      </c>
      <c r="E108" s="794">
        <v>63.8</v>
      </c>
      <c r="F108" s="920" cm="1" t="str">
        <f t="array" ref="F108:F108">OFFSET(G108,-1,-1)</f>
        <v>1</v>
      </c>
      <c r="G108" s="227"/>
      <c r="H108" s="227"/>
      <c r="I108" s="227"/>
      <c r="J108" s="227"/>
      <c r="K108" s="227"/>
      <c r="L108" s="190"/>
      <c r="M108" s="1282"/>
      <c r="N108" s="1282" cm="1" t="str">
        <f t="array" ref="N108:N108">OFFSET(M108,-1,1)</f>
        <v>ТЭ.73.28136693.0002</v>
      </c>
      <c r="O108" s="1283"/>
      <c r="P108" s="1283"/>
      <c r="Q108" s="1283"/>
      <c r="R108" s="1283"/>
      <c r="S108" s="1642"/>
      <c r="T108" s="805" cm="1" t="str">
        <f t="array" ref="T108:T108">T107</f>
        <v>true</v>
      </c>
      <c r="U108" s="1437"/>
      <c r="V108" s="1437"/>
      <c r="W108" s="1437"/>
      <c r="X108" s="1437"/>
      <c r="Y108" s="1437"/>
      <c r="Z108" s="1437"/>
      <c r="AA108" s="227"/>
      <c r="AB108" s="639" t="s">
        <v>682</v>
      </c>
      <c r="AC108" s="641" t="s">
        <v>1655</v>
      </c>
      <c r="AD108" s="496" t="s">
        <v>986</v>
      </c>
      <c r="AE108" s="2014"/>
      <c r="AF108" s="1981"/>
      <c r="AG108" s="1981"/>
      <c r="AH108" s="307">
        <f>AG108-AF108</f>
        <v>0</v>
      </c>
      <c r="AI108" s="1981"/>
      <c r="AJ108" s="614"/>
      <c r="AK108" s="1979"/>
      <c r="AL108" s="1979"/>
      <c r="AM108" s="1981"/>
      <c r="AN108" s="1981"/>
      <c r="AO108" s="1981"/>
      <c r="AP108" s="1981"/>
      <c r="AQ108" s="1981"/>
      <c r="AR108" s="1981"/>
      <c r="AS108" s="1981"/>
      <c r="AT108" s="614"/>
      <c r="AU108" s="1979"/>
      <c r="AV108" s="1979"/>
      <c r="AW108" s="1981"/>
      <c r="AX108" s="1981"/>
      <c r="AY108" s="1981"/>
      <c r="AZ108" s="1981"/>
      <c r="BA108" s="1981"/>
      <c r="BB108" s="1981"/>
      <c r="BC108" s="1981"/>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953"/>
      <c r="BO108" s="1953"/>
      <c r="BP108" s="1953"/>
      <c r="BQ108" s="227"/>
      <c r="BR108" s="227"/>
      <c r="BS108" s="1233" t="s">
        <v>1656</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M10743::ТЭ.73.28136693.0002::Неопределено::Неопределено::Неопределено::Неопределено::Неопределено</v>
      </c>
    </row>
    <row s="1642" customFormat="1" customHeight="1" ht="16.5">
      <c r="A109" s="225"/>
      <c r="B109" s="925"/>
      <c r="C109" s="1299" t="s">
        <v>1657</v>
      </c>
      <c r="D109" s="1258" t="s">
        <v>1658</v>
      </c>
      <c r="E109" s="794">
        <v>17.1</v>
      </c>
      <c r="F109" s="920" cm="1" t="str">
        <f t="array" ref="F109:F109">OFFSET(G109,-1,-1)</f>
        <v>1</v>
      </c>
      <c r="G109" s="227"/>
      <c r="H109" s="227"/>
      <c r="I109" s="227"/>
      <c r="J109" s="227"/>
      <c r="K109" s="227"/>
      <c r="L109" s="190"/>
      <c r="M109" s="1282"/>
      <c r="N109" s="1282" cm="1" t="str">
        <f t="array" ref="N109:N109">OFFSET(M109,-1,1)</f>
        <v>ТЭ.73.28136693.0002</v>
      </c>
      <c r="O109" s="1283"/>
      <c r="P109" s="1283"/>
      <c r="Q109" s="1283"/>
      <c r="R109" s="1283"/>
      <c r="S109" s="1642"/>
      <c r="T109" s="805" cm="1" t="str">
        <f t="array" ref="T109:T109">T108</f>
        <v>true</v>
      </c>
      <c r="U109" s="1437"/>
      <c r="V109" s="1437"/>
      <c r="W109" s="1437"/>
      <c r="X109" s="1437"/>
      <c r="Y109" s="1437"/>
      <c r="Z109" s="1437"/>
      <c r="AA109" s="227"/>
      <c r="AB109" s="157" t="s">
        <v>690</v>
      </c>
      <c r="AC109" s="610" t="s">
        <v>1659</v>
      </c>
      <c r="AD109" s="651" t="s">
        <v>986</v>
      </c>
      <c r="AE109" s="612">
        <f>SUM(AE110:AE113)</f>
        <v>0</v>
      </c>
      <c r="AF109" s="612">
        <f>SUM(AF110:AF113)</f>
        <v>1113.48</v>
      </c>
      <c r="AG109" s="654">
        <f>SUM(AG110:AG113)</f>
        <v>0</v>
      </c>
      <c r="AH109" s="307">
        <f>AG109-AF109</f>
        <v>-1113.48</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150726.71</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864"/>
      <c r="BO109" s="1864"/>
      <c r="BP109" s="1864"/>
      <c r="BQ109" s="227"/>
      <c r="BR109" s="227"/>
      <c r="BS109" s="1233" t="s">
        <v>1233</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M10895::ТЭ.73.28136693.0002::Неопределено::Неопределено::Неопределено::Неопределено::Неопределено</v>
      </c>
    </row>
    <row s="2015"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ТЭ.73.28136693.0002</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42" customFormat="1" customHeight="1" ht="16.5" hidden="1">
      <c r="C111" s="1299" t="s">
        <v>1657</v>
      </c>
      <c r="D111" s="1258" t="s">
        <v>1658</v>
      </c>
      <c r="E111" s="794">
        <v>17.1</v>
      </c>
      <c r="F111" s="920" cm="1" t="str">
        <f t="array" ref="F111:F111">OFFSET(G111,-1,-1)</f>
        <v>1</v>
      </c>
      <c r="M111" s="1286" cm="1" t="str">
        <f t="array" ref="M111:M111">AC111</f>
        <v>0</v>
      </c>
      <c r="N111" s="1282" cm="1" t="str">
        <f t="array" ref="N111:N111">OFFSET(M111,-1,1)</f>
        <v>ТЭ.73.28136693.0002</v>
      </c>
      <c r="O111" s="1283"/>
      <c r="P111" s="1283"/>
      <c r="Q111" s="1283"/>
      <c r="R111" s="1283"/>
      <c r="T111" s="805">
        <f>AND(F111&gt;0,Y111&gt;0)</f>
        <v>0</v>
      </c>
      <c r="W111" s="172" t="s">
        <v>235</v>
      </c>
      <c r="Y111" s="172">
        <v>0</v>
      </c>
      <c r="AA111" s="1121" t="s">
        <v>219</v>
      </c>
      <c r="AB111" s="639" t="str">
        <f>"11."&amp;Y111</f>
        <v>11.0</v>
      </c>
      <c r="AC111" s="133"/>
      <c r="AD111" s="651" t="s">
        <v>986</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1233</v>
      </c>
      <c r="BT111" s="1233" t="s">
        <v>1163</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M10895::ТЭ.73.28136693.0002::0::Неопределено::Неопределено::Неопределено::Неопределено</v>
      </c>
    </row>
    <row s="1642" customFormat="1" customHeight="1" ht="16.5">
      <c r="A112" s="1642"/>
      <c r="B112" s="1642"/>
      <c r="C112" s="1299" t="s">
        <v>1657</v>
      </c>
      <c r="D112" s="1258" t="s">
        <v>1658</v>
      </c>
      <c r="E112" s="794">
        <v>17.1</v>
      </c>
      <c r="F112" s="920" cm="1" t="str">
        <f t="array" ref="F112:F112">OFFSET(G112,-1,-1)</f>
        <v>1</v>
      </c>
      <c r="G112" s="1642"/>
      <c r="H112" s="1642"/>
      <c r="I112" s="1642"/>
      <c r="J112" s="1642"/>
      <c r="K112" s="1642"/>
      <c r="L112" s="1642"/>
      <c r="M112" s="1286" cm="1" t="str">
        <f t="array" ref="M112:M112">AC112</f>
        <v>расходы на компенсацию потерь</v>
      </c>
      <c r="N112" s="1282" cm="1" t="str">
        <f t="array" ref="N112:N112">OFFSET(M112,-1,1)</f>
        <v>ТЭ.73.28136693.0002</v>
      </c>
      <c r="O112" s="1283"/>
      <c r="P112" s="1283"/>
      <c r="Q112" s="1283"/>
      <c r="R112" s="1283"/>
      <c r="S112" s="1642"/>
      <c r="T112" s="805">
        <f>AND(F112&gt;0,Y112&gt;0)</f>
        <v>1</v>
      </c>
      <c r="U112" s="1642"/>
      <c r="V112" s="1642"/>
      <c r="W112" s="172"/>
      <c r="X112" s="1642"/>
      <c r="Y112" s="172" t="s">
        <v>337</v>
      </c>
      <c r="Z112" s="1642"/>
      <c r="AA112" s="1121" t="s">
        <v>219</v>
      </c>
      <c r="AB112" s="639" t="str">
        <f>"11."&amp;Y112</f>
        <v>11.1</v>
      </c>
      <c r="AC112" s="2016" t="s">
        <v>1760</v>
      </c>
      <c r="AD112" s="651" t="s">
        <v>986</v>
      </c>
      <c r="AE112" s="1981"/>
      <c r="AF112" s="1981">
        <v>1113.48</v>
      </c>
      <c r="AG112" s="2017"/>
      <c r="AH112" s="307">
        <f>AG112-AF112</f>
        <v>-1113.48</v>
      </c>
      <c r="AI112" s="2018"/>
      <c r="AJ112" s="614"/>
      <c r="AK112" s="1981"/>
      <c r="AL112" s="1981"/>
      <c r="AM112" s="1981"/>
      <c r="AN112" s="1981"/>
      <c r="AO112" s="1981"/>
      <c r="AP112" s="1981"/>
      <c r="AQ112" s="1981"/>
      <c r="AR112" s="1981"/>
      <c r="AS112" s="1981"/>
      <c r="AT112" s="614">
        <v>150726.71</v>
      </c>
      <c r="AU112" s="1981"/>
      <c r="AV112" s="1981"/>
      <c r="AW112" s="1981"/>
      <c r="AX112" s="1981"/>
      <c r="AY112" s="1981"/>
      <c r="AZ112" s="1981"/>
      <c r="BA112" s="1981"/>
      <c r="BB112" s="1981"/>
      <c r="BC112" s="1981"/>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864"/>
      <c r="BO112" s="1864"/>
      <c r="BP112" s="1864"/>
      <c r="BQ112" s="1642"/>
      <c r="BR112" s="1642"/>
      <c r="BS112" s="1233" t="s">
        <v>1233</v>
      </c>
      <c r="BT112" s="1233" t="s">
        <v>1163</v>
      </c>
      <c r="BU112" s="1243" cm="1" t="str">
        <f t="array" ref="BU112:BU112">AC112</f>
        <v>расходы на компенсацию потерь</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M10895::ТЭ.73.28136693.0002::расходы на компенсацию потерь::Неопределено::Неопределено::Неопределено::Неопределено</v>
      </c>
    </row>
    <row s="2019"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ТЭ.73.28136693.0002</v>
      </c>
      <c r="O113" s="1285"/>
      <c r="P113" s="1285"/>
      <c r="Q113" s="1285"/>
      <c r="R113" s="1285"/>
      <c r="S113" s="643"/>
      <c r="T113" s="805">
        <f>F113&gt;0</f>
        <v>1</v>
      </c>
      <c r="U113" s="643"/>
      <c r="V113" s="643"/>
      <c r="W113" s="371" t="s">
        <v>1660</v>
      </c>
      <c r="X113" s="643"/>
      <c r="Y113" s="643"/>
      <c r="Z113" s="643"/>
      <c r="AA113" s="643"/>
      <c r="AB113" s="299"/>
      <c r="AC113" s="732" t="s">
        <v>237</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1163</v>
      </c>
      <c r="BW113" s="1247"/>
      <c r="BX113" s="1269"/>
    </row>
    <row s="1642" customFormat="1" customHeight="1" ht="14.25">
      <c r="A114" s="225"/>
      <c r="B114" s="925"/>
      <c r="C114" s="1299" t="s">
        <v>1661</v>
      </c>
      <c r="D114" s="1258" t="s">
        <v>1662</v>
      </c>
      <c r="E114" s="794">
        <v>15</v>
      </c>
      <c r="F114" s="920" cm="1" t="str">
        <f t="array" ref="F114:F114">OFFSET(G114,-1,-1)</f>
        <v>1</v>
      </c>
      <c r="G114" s="227"/>
      <c r="H114" s="227"/>
      <c r="I114" s="227"/>
      <c r="J114" s="227"/>
      <c r="K114" s="227"/>
      <c r="L114" s="190"/>
      <c r="M114" s="1282"/>
      <c r="N114" s="1282" cm="1" t="str">
        <f t="array" ref="N114:N114">OFFSET(M114,-1,1)</f>
        <v>ТЭ.73.28136693.0002</v>
      </c>
      <c r="O114" s="1283"/>
      <c r="P114" s="1283"/>
      <c r="Q114" s="1283"/>
      <c r="R114" s="1283"/>
      <c r="S114" s="1642"/>
      <c r="T114" s="805" cm="1" t="str">
        <f t="array" ref="T114:T114">T113</f>
        <v>true</v>
      </c>
      <c r="U114" s="1437"/>
      <c r="V114" s="1437"/>
      <c r="W114" s="1437"/>
      <c r="X114" s="1437"/>
      <c r="Y114" s="1437"/>
      <c r="Z114" s="1437"/>
      <c r="AA114" s="227"/>
      <c r="AB114" s="646" t="s">
        <v>1663</v>
      </c>
      <c r="AC114" s="647" t="s">
        <v>1664</v>
      </c>
      <c r="AD114" s="661" t="s">
        <v>986</v>
      </c>
      <c r="AE114" s="612">
        <f>AE83+AE84+AE85+IF(method_reg="Метод индексации",AE98+AE102,AE86+AE89)+AE104+AE105+AE106+AE107+AE108+AE109</f>
        <v>40777.41</v>
      </c>
      <c r="AF114" s="612">
        <f>AF83+AF84+AF85+IF(method_reg="Метод индексации",AF98+AF102,AF86+AF89)+AF104+AF105+AF106+AF107+AF108+AF109</f>
        <v>219637.33</v>
      </c>
      <c r="AG114" s="612">
        <f>AG83+AG84+AG85+IF(method_reg="Метод индексации",AG98+AG102,AG86+AG89)+AG104+AG105+AG106+AG107+AG108+AG109</f>
        <v>187742.32882432</v>
      </c>
      <c r="AH114" s="307">
        <f>AG114-AF114</f>
        <v>-31895.00117568</v>
      </c>
      <c r="AI114" s="612">
        <f>AI83+AI84+AI85+IF(method_reg="Метод индексации",AI98+AI102,AI86+AI89)+AI104+AI105+AI106+AI107+AI108+AI109</f>
        <v>45675.00292</v>
      </c>
      <c r="AJ114" s="612">
        <f>AJ83+AJ84+AJ85+IF(method_reg="Метод индексации",AJ98+AJ102,AJ86+AJ89)+AJ104+AJ105+AJ106+AJ107+AJ108+AJ109</f>
        <v>453195.27887</v>
      </c>
      <c r="AK114" s="612">
        <f>AK83+AK84+AK85+IF(method_reg="Метод индексации",AK98+AK102,AK86+AK89)+AK104+AK105+AK106+AK107+AK108+AK109</f>
        <v>34070.5827</v>
      </c>
      <c r="AL114" s="612">
        <f>AL83+AL84+AL85+IF(method_reg="Метод индексации",AL98+AL102,AL86+AL89)+AL104+AL105+AL106+AL107+AL108+AL109</f>
        <v>33729.876873</v>
      </c>
      <c r="AM114" s="612">
        <f>AM83+AM84+AM85+IF(method_reg="Метод индексации",AM98+AM102,AM86+AM89)+AM104+AM105+AM106+AM107+AM108+AM109</f>
        <v>33392.57810427</v>
      </c>
      <c r="AN114" s="612">
        <f>AN83+AN84+AN85+IF(method_reg="Метод индексации",AN98+AN102,AN86+AN89)+AN104+AN105+AN106+AN107+AN108+AN109</f>
        <v>33058.6523232273</v>
      </c>
      <c r="AO114" s="612">
        <f>AO83+AO84+AO85+IF(method_reg="Метод индексации",AO98+AO102,AO86+AO89)+AO104+AO105+AO106+AO107+AO108+AO109</f>
        <v>32728.065799995</v>
      </c>
      <c r="AP114" s="612">
        <f>AP83+AP84+AP85+IF(method_reg="Метод индексации",AP98+AP102,AP86+AP89)+AP104+AP105+AP106+AP107+AP108+AP109</f>
        <v>32400.7851419951</v>
      </c>
      <c r="AQ114" s="612">
        <f>AQ83+AQ84+AQ85+IF(method_reg="Метод индексации",AQ98+AQ102,AQ86+AQ89)+AQ104+AQ105+AQ106+AQ107+AQ108+AQ109</f>
        <v>32076.7772905751</v>
      </c>
      <c r="AR114" s="612">
        <f>AR83+AR84+AR85+IF(method_reg="Метод индексации",AR98+AR102,AR86+AR89)+AR104+AR105+AR106+AR107+AR108+AR109</f>
        <v>31756.0095176694</v>
      </c>
      <c r="AS114" s="612">
        <f>AS83+AS84+AS85+IF(method_reg="Метод индексации",AS98+AS102,AS86+AS89)+AS104+AS105+AS106+AS107+AS108+AS109</f>
        <v>31438.4494224927</v>
      </c>
      <c r="AT114" s="612">
        <f>AT83+AT84+AT85+IF(method_reg="Метод индексации",AT98+AT102,AT86+AT89)+AT104+AT105+AT106+AT107+AT108+AT109</f>
        <v>192819.6549</v>
      </c>
      <c r="AU114" s="612">
        <f>AU83+AU84+AU85+IF(method_reg="Метод индексации",AU98+AU102,AU86+AU89)+AU104+AU105+AU106+AU107+AU108+AU109</f>
        <v>34331.913</v>
      </c>
      <c r="AV114" s="612">
        <f>AV83+AV84+AV85+IF(method_reg="Метод индексации",AV98+AV102,AV86+AV89)+AV104+AV105+AV106+AV107+AV108+AV109</f>
        <v>33988.59387</v>
      </c>
      <c r="AW114" s="612">
        <f>AW83+AW84+AW85+IF(method_reg="Метод индексации",AW98+AW102,AW86+AW89)+AW104+AW105+AW106+AW107+AW108+AW109</f>
        <v>33648.7079313</v>
      </c>
      <c r="AX114" s="612">
        <f>AX83+AX84+AX85+IF(method_reg="Метод индексации",AX98+AX102,AX86+AX89)+AX104+AX105+AX106+AX107+AX108+AX109</f>
        <v>33312.220851987</v>
      </c>
      <c r="AY114" s="612">
        <f>AY83+AY84+AY85+IF(method_reg="Метод индексации",AY98+AY102,AY86+AY89)+AY104+AY105+AY106+AY107+AY108+AY109</f>
        <v>32979.0986434671</v>
      </c>
      <c r="AZ114" s="612">
        <f>AZ83+AZ84+AZ85+IF(method_reg="Метод индексации",AZ98+AZ102,AZ86+AZ89)+AZ104+AZ105+AZ106+AZ107+AZ108+AZ109</f>
        <v>32649.3076570324</v>
      </c>
      <c r="BA114" s="612">
        <f>BA83+BA84+BA85+IF(method_reg="Метод индексации",BA98+BA102,BA86+BA89)+BA104+BA105+BA106+BA107+BA108+BA109</f>
        <v>32322.8145804621</v>
      </c>
      <c r="BB114" s="612">
        <f>BB83+BB84+BB85+IF(method_reg="Метод индексации",BB98+BB102,BB86+BB89)+BB104+BB105+BB106+BB107+BB108+BB109</f>
        <v>31999.5864346575</v>
      </c>
      <c r="BC114" s="612">
        <f>BC83+BC84+BC85+IF(method_reg="Метод индексации",BC98+BC102,BC86+BC89)+BC104+BC105+BC106+BC107+BC108+BC109</f>
        <v>31679.5905703109</v>
      </c>
      <c r="BD114" s="307">
        <f>IF(AI114=0,0,(AT114-AI114)/AI114*100)</f>
        <v>322.155758233283</v>
      </c>
      <c r="BE114" s="307">
        <f>IF(AT114=0,0,(AU114-AT114)/AT114*100)</f>
        <v>-82.1948063241762</v>
      </c>
      <c r="BF114" s="307">
        <f>IF(AU114=0,0,(AV114-AU114)/AU114*100)</f>
        <v>-1</v>
      </c>
      <c r="BG114" s="307">
        <f>IF(AV114=0,0,(AW114-AV114)/AV114*100)</f>
        <v>-0.99999999999999</v>
      </c>
      <c r="BH114" s="307">
        <f>IF(AW114=0,0,(AX114-AW114)/AW114*100)</f>
        <v>-1</v>
      </c>
      <c r="BI114" s="307">
        <f>IF(AX114=0,0,(AY114-AX114)/AX114*100)</f>
        <v>-1.0000000000001</v>
      </c>
      <c r="BJ114" s="307">
        <f>IF(AY114=0,0,(AZ114-AY114)/AY114*100)</f>
        <v>-1.0000000000001</v>
      </c>
      <c r="BK114" s="307">
        <f>IF(AZ114=0,0,(BA114-AZ114)/AZ114*100)</f>
        <v>-0.99999999999992</v>
      </c>
      <c r="BL114" s="307">
        <f>IF(BA114=0,0,(BB114-BA114)/BA114*100)</f>
        <v>-0.99999999999994</v>
      </c>
      <c r="BM114" s="307">
        <f>IF(BB114=0,0,(BC114-BB114)/BB114*100)</f>
        <v>-1.0000000000001</v>
      </c>
      <c r="BN114" s="1828"/>
      <c r="BO114" s="1828"/>
      <c r="BP114" s="1828"/>
      <c r="BQ114" s="227"/>
      <c r="BR114" s="227"/>
      <c r="BS114" s="1233" t="s">
        <v>1665</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M10655::ТЭ.73.28136693.0002::Неопределено::Неопределено::Неопределено::Неопределено::Неопределено</v>
      </c>
    </row>
    <row s="1642" customFormat="1" customHeight="1" ht="48.75">
      <c r="A115" s="225"/>
      <c r="B115" s="925"/>
      <c r="C115" s="1328" t="s">
        <v>1666</v>
      </c>
      <c r="D115" s="1258" t="s">
        <v>1667</v>
      </c>
      <c r="E115" s="794">
        <v>50</v>
      </c>
      <c r="F115" s="920" cm="1" t="str">
        <f t="array" ref="F115:F115">OFFSET(G115,-1,-1)</f>
        <v>1</v>
      </c>
      <c r="G115" s="227"/>
      <c r="H115" s="227"/>
      <c r="I115" s="227"/>
      <c r="J115" s="227"/>
      <c r="K115" s="227"/>
      <c r="L115" s="190"/>
      <c r="M115" s="1282"/>
      <c r="N115" s="1282" cm="1" t="str">
        <f t="array" ref="N115:N115">OFFSET(M115,-1,1)</f>
        <v>ТЭ.73.28136693.0002</v>
      </c>
      <c r="O115" s="1283"/>
      <c r="P115" s="1283"/>
      <c r="Q115" s="1283"/>
      <c r="R115" s="1283"/>
      <c r="S115" s="1642"/>
      <c r="T115" s="805" cm="1" t="str">
        <f t="array" ref="T115:T115">T114</f>
        <v>true</v>
      </c>
      <c r="U115" s="1437"/>
      <c r="V115" s="1437"/>
      <c r="W115" s="1437"/>
      <c r="X115" s="1437"/>
      <c r="Y115" s="1437"/>
      <c r="Z115" s="1437"/>
      <c r="AA115" s="227"/>
      <c r="AB115" s="640" t="s">
        <v>1668</v>
      </c>
      <c r="AC115" s="1084" t="s">
        <v>1666</v>
      </c>
      <c r="AD115" s="651" t="s">
        <v>986</v>
      </c>
      <c r="AE115" s="2020"/>
      <c r="AF115" s="2020"/>
      <c r="AG115" s="2020"/>
      <c r="AH115" s="307">
        <f>AG115-AF115</f>
        <v>0</v>
      </c>
      <c r="AI115" s="2020"/>
      <c r="AJ115" s="665"/>
      <c r="AK115" s="2006"/>
      <c r="AL115" s="2006"/>
      <c r="AM115" s="2020"/>
      <c r="AN115" s="2020"/>
      <c r="AO115" s="2020"/>
      <c r="AP115" s="2020"/>
      <c r="AQ115" s="2020"/>
      <c r="AR115" s="2020"/>
      <c r="AS115" s="2020"/>
      <c r="AT115" s="665"/>
      <c r="AU115" s="2006"/>
      <c r="AV115" s="2006"/>
      <c r="AW115" s="2020"/>
      <c r="AX115" s="2020"/>
      <c r="AY115" s="2020"/>
      <c r="AZ115" s="2020"/>
      <c r="BA115" s="2020"/>
      <c r="BB115" s="2020"/>
      <c r="BC115" s="2020"/>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828"/>
      <c r="BO115" s="1828"/>
      <c r="BP115" s="1828"/>
      <c r="BQ115" s="227"/>
      <c r="BR115" s="227"/>
      <c r="BS115" s="1233" t="s">
        <v>1669</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M11579::ТЭ.73.28136693.0002::Неопределено::Неопределено::Неопределено::Неопределено::Неопределено</v>
      </c>
    </row>
    <row s="1642" customFormat="1" customHeight="1" ht="14.25">
      <c r="A116" s="225"/>
      <c r="B116" s="925"/>
      <c r="C116" s="1299" t="s">
        <v>1670</v>
      </c>
      <c r="D116" s="1258" t="s">
        <v>1671</v>
      </c>
      <c r="E116" s="794">
        <v>15</v>
      </c>
      <c r="F116" s="920" cm="1" t="str">
        <f t="array" ref="F116:F116">OFFSET(G116,-1,-1)</f>
        <v>1</v>
      </c>
      <c r="G116" s="190" t="s">
        <v>1672</v>
      </c>
      <c r="H116" s="227"/>
      <c r="I116" s="227"/>
      <c r="J116" s="227"/>
      <c r="K116" s="227"/>
      <c r="L116" s="190"/>
      <c r="M116" s="1282"/>
      <c r="N116" s="1282" cm="1" t="str">
        <f t="array" ref="N116:N116">OFFSET(M116,-1,1)</f>
        <v>ТЭ.73.28136693.0002</v>
      </c>
      <c r="O116" s="1287"/>
      <c r="P116" s="1283"/>
      <c r="Q116" s="1283"/>
      <c r="R116" s="1287"/>
      <c r="S116" s="1642"/>
      <c r="T116" s="805" cm="1" t="str">
        <f t="array" ref="T116:T116">T115</f>
        <v>true</v>
      </c>
      <c r="U116" s="1437"/>
      <c r="V116" s="1437"/>
      <c r="W116" s="1437"/>
      <c r="X116" s="1437"/>
      <c r="Y116" s="1437"/>
      <c r="Z116" s="1437"/>
      <c r="AA116" s="227"/>
      <c r="AB116" s="646" t="s">
        <v>1673</v>
      </c>
      <c r="AC116" s="1071" t="s">
        <v>1674</v>
      </c>
      <c r="AD116" s="651" t="s">
        <v>986</v>
      </c>
      <c r="AE116" s="691">
        <f>AE114+AE115</f>
        <v>40777.41</v>
      </c>
      <c r="AF116" s="691">
        <f>AF114+AF115</f>
        <v>219637.33</v>
      </c>
      <c r="AG116" s="691">
        <f>AG114+AG115</f>
        <v>187742.32882432</v>
      </c>
      <c r="AH116" s="307">
        <f>AG116-AF116</f>
        <v>-31895.00117568</v>
      </c>
      <c r="AI116" s="691">
        <f>AI114+AI115</f>
        <v>45675.00292</v>
      </c>
      <c r="AJ116" s="691">
        <f>AJ114+AJ115</f>
        <v>453195.27887</v>
      </c>
      <c r="AK116" s="691">
        <f>AK114+AK115</f>
        <v>34070.5827</v>
      </c>
      <c r="AL116" s="691">
        <f>AL114+AL115</f>
        <v>33729.876873</v>
      </c>
      <c r="AM116" s="691">
        <f>AM114+AM115</f>
        <v>33392.57810427</v>
      </c>
      <c r="AN116" s="691">
        <f>AN114+AN115</f>
        <v>33058.6523232273</v>
      </c>
      <c r="AO116" s="691">
        <f>AO114+AO115</f>
        <v>32728.065799995</v>
      </c>
      <c r="AP116" s="691">
        <f>AP114+AP115</f>
        <v>32400.7851419951</v>
      </c>
      <c r="AQ116" s="691">
        <f>AQ114+AQ115</f>
        <v>32076.7772905751</v>
      </c>
      <c r="AR116" s="691">
        <f>AR114+AR115</f>
        <v>31756.0095176694</v>
      </c>
      <c r="AS116" s="691">
        <f>AS114+AS115</f>
        <v>31438.4494224927</v>
      </c>
      <c r="AT116" s="691">
        <f>AT114+AT115</f>
        <v>192819.6549</v>
      </c>
      <c r="AU116" s="691">
        <f>AU114+AU115</f>
        <v>34331.913</v>
      </c>
      <c r="AV116" s="691">
        <f>AV114+AV115</f>
        <v>33988.59387</v>
      </c>
      <c r="AW116" s="691">
        <f>AW114+AW115</f>
        <v>33648.7079313</v>
      </c>
      <c r="AX116" s="691">
        <f>AX114+AX115</f>
        <v>33312.220851987</v>
      </c>
      <c r="AY116" s="691">
        <f>AY114+AY115</f>
        <v>32979.0986434671</v>
      </c>
      <c r="AZ116" s="691">
        <f>AZ114+AZ115</f>
        <v>32649.3076570324</v>
      </c>
      <c r="BA116" s="691">
        <f>BA114+BA115</f>
        <v>32322.8145804621</v>
      </c>
      <c r="BB116" s="691">
        <f>BB114+BB115</f>
        <v>31999.5864346575</v>
      </c>
      <c r="BC116" s="691">
        <f>BC114+BC115</f>
        <v>31679.5905703109</v>
      </c>
      <c r="BD116" s="307">
        <f>IF(AI116=0,0,(AT116-AI116)/AI116*100)</f>
        <v>322.155758233283</v>
      </c>
      <c r="BE116" s="307">
        <f>IF(AT116=0,0,(AU116-AT116)/AT116*100)</f>
        <v>-82.1948063241762</v>
      </c>
      <c r="BF116" s="307">
        <f>IF(AU116=0,0,(AV116-AU116)/AU116*100)</f>
        <v>-1</v>
      </c>
      <c r="BG116" s="307">
        <f>IF(AV116=0,0,(AW116-AV116)/AV116*100)</f>
        <v>-0.99999999999999</v>
      </c>
      <c r="BH116" s="307">
        <f>IF(AW116=0,0,(AX116-AW116)/AW116*100)</f>
        <v>-1</v>
      </c>
      <c r="BI116" s="307">
        <f>IF(AX116=0,0,(AY116-AX116)/AX116*100)</f>
        <v>-1.0000000000001</v>
      </c>
      <c r="BJ116" s="307">
        <f>IF(AY116=0,0,(AZ116-AY116)/AY116*100)</f>
        <v>-1.0000000000001</v>
      </c>
      <c r="BK116" s="307">
        <f>IF(AZ116=0,0,(BA116-AZ116)/AZ116*100)</f>
        <v>-0.99999999999992</v>
      </c>
      <c r="BL116" s="307">
        <f>IF(BA116=0,0,(BB116-BA116)/BA116*100)</f>
        <v>-0.99999999999994</v>
      </c>
      <c r="BM116" s="307">
        <f>IF(BB116=0,0,(BC116-BB116)/BB116*100)</f>
        <v>-1.0000000000001</v>
      </c>
      <c r="BN116" s="1828"/>
      <c r="BO116" s="1828"/>
      <c r="BP116" s="1828"/>
      <c r="BQ116" s="227"/>
      <c r="BR116" s="227"/>
      <c r="BS116" s="1233" t="s">
        <v>1675</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M11580::ТЭ.73.28136693.0002::Неопределено::Неопределено::Неопределено::Неопределено::Неопределено</v>
      </c>
    </row>
    <row s="1642" customFormat="1" customHeight="1" ht="14.25" hidden="1">
      <c r="A117" s="225"/>
      <c r="B117" s="925"/>
      <c r="C117" s="1328" t="s">
        <v>1676</v>
      </c>
      <c r="D117" s="1258" t="s">
        <v>1677</v>
      </c>
      <c r="E117" s="794">
        <v>15</v>
      </c>
      <c r="F117" s="920" cm="1" t="str">
        <f t="array" ref="F117:F117">OFFSET(G117,-1,-1)</f>
        <v>1</v>
      </c>
      <c r="G117" s="190" t="s">
        <v>930</v>
      </c>
      <c r="H117" s="227"/>
      <c r="I117" s="227"/>
      <c r="J117" s="227"/>
      <c r="K117" s="227"/>
      <c r="L117" s="190" t="s">
        <v>1678</v>
      </c>
      <c r="M117" s="1282"/>
      <c r="N117" s="1282" cm="1" t="str">
        <f t="array" ref="N117:N117">OFFSET(M117,-1,1)</f>
        <v>ТЭ.73.28136693.0002</v>
      </c>
      <c r="O117" s="1287"/>
      <c r="P117" s="1283"/>
      <c r="Q117" s="1283"/>
      <c r="R117" s="1287"/>
      <c r="S117" s="1642"/>
      <c r="T117" s="805">
        <f>AND(F117&gt;0,G82="двухставочный")</f>
        <v>0</v>
      </c>
      <c r="U117" s="1437"/>
      <c r="V117" s="1437"/>
      <c r="W117" s="1437"/>
      <c r="X117" s="1437"/>
      <c r="Y117" s="1437"/>
      <c r="Z117" s="1437"/>
      <c r="AA117" s="227"/>
      <c r="AB117" s="660" t="str">
        <f>AB116&amp;".1"</f>
        <v>14.1</v>
      </c>
      <c r="AC117" s="616" t="s">
        <v>1679</v>
      </c>
      <c r="AD117" s="309" t="s">
        <v>799</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0</v>
      </c>
      <c r="AK117" s="1979">
        <f>_xlfn.SUMIFS('Ресурсы (5.4)'!AK$26:AK$47,'Ресурсы (5.4)'!$F$26:$F$47,$F117,'Ресурсы (5.4)'!$AB$26:$AB$47,"6.1")</f>
        <v>0</v>
      </c>
      <c r="AL117" s="1979">
        <f>_xlfn.SUMIFS('Ресурсы (5.4)'!AL$26:AL$47,'Ресурсы (5.4)'!$F$26:$F$47,$F117,'Ресурсы (5.4)'!$AB$26:$AB$47,"6.1")</f>
        <v>0</v>
      </c>
      <c r="AM117" s="122">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0</v>
      </c>
      <c r="AU117" s="1979">
        <f>_xlfn.SUMIFS('Ресурсы (5.4)'!AU$26:AU$47,'Ресурсы (5.4)'!$F$26:$F$47,$F117,'Ресурсы (5.4)'!$AB$26:$AB$47,"6.1")</f>
        <v>0</v>
      </c>
      <c r="AV117" s="1979">
        <f>_xlfn.SUMIFS('Ресурсы (5.4)'!AV$26:AV$47,'Ресурсы (5.4)'!$F$26:$F$47,$F117,'Ресурсы (5.4)'!$AB$26:$AB$47,"6.1")</f>
        <v>0</v>
      </c>
      <c r="AW117" s="122">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1680</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M11581::ТЭ.73.28136693.0002::Неопределено::Неопределено::Неопределено::Неопределено::Неопределено</v>
      </c>
    </row>
    <row s="1642" customFormat="1" customHeight="1" ht="14.25" hidden="1">
      <c r="A118" s="225"/>
      <c r="B118" s="925"/>
      <c r="C118" s="1328" t="s">
        <v>1681</v>
      </c>
      <c r="D118" s="1258" t="s">
        <v>1682</v>
      </c>
      <c r="E118" s="794">
        <v>15</v>
      </c>
      <c r="F118" s="920" cm="1" t="str">
        <f t="array" ref="F118:F118">OFFSET(G118,-1,-1)</f>
        <v>1</v>
      </c>
      <c r="G118" s="227"/>
      <c r="H118" s="227"/>
      <c r="I118" s="227"/>
      <c r="J118" s="227"/>
      <c r="K118" s="227"/>
      <c r="L118" s="190" t="s">
        <v>1678</v>
      </c>
      <c r="M118" s="1282"/>
      <c r="N118" s="1282" cm="1" t="str">
        <f t="array" ref="N118:N118">OFFSET(M118,-1,1)</f>
        <v>ТЭ.73.28136693.0002</v>
      </c>
      <c r="O118" s="1287"/>
      <c r="P118" s="1283"/>
      <c r="Q118" s="1283"/>
      <c r="R118" s="1287"/>
      <c r="S118" s="1642"/>
      <c r="T118" s="805" cm="1" t="str">
        <f t="array" ref="T118:T118">T117</f>
        <v>false</v>
      </c>
      <c r="U118" s="1437"/>
      <c r="V118" s="1437"/>
      <c r="W118" s="1437"/>
      <c r="X118" s="1437"/>
      <c r="Y118" s="1437"/>
      <c r="Z118" s="1437"/>
      <c r="AA118" s="227"/>
      <c r="AB118" s="660" t="str">
        <f>AB116&amp;".2"</f>
        <v>14.2</v>
      </c>
      <c r="AC118" s="616" t="s">
        <v>1681</v>
      </c>
      <c r="AD118" s="309" t="s">
        <v>799</v>
      </c>
      <c r="AE118" s="612">
        <f>AE116-AE117</f>
        <v>40777.41</v>
      </c>
      <c r="AF118" s="612">
        <f>AF116-AF117</f>
        <v>219637.33</v>
      </c>
      <c r="AG118" s="612">
        <f>AG116-AG117</f>
        <v>187742.32882432</v>
      </c>
      <c r="AH118" s="307">
        <f>AG118-AF118</f>
        <v>-31895.00117568</v>
      </c>
      <c r="AI118" s="612">
        <f>AI116-AI117</f>
        <v>45675.00292</v>
      </c>
      <c r="AJ118" s="612">
        <f>AJ116-AJ117</f>
        <v>453195.27887</v>
      </c>
      <c r="AK118" s="612">
        <f>AK116-AK117</f>
        <v>34070.5827</v>
      </c>
      <c r="AL118" s="612">
        <f>AL116-AL117</f>
        <v>33729.876873</v>
      </c>
      <c r="AM118" s="612">
        <f>AM116-AM117</f>
        <v>33392.57810427</v>
      </c>
      <c r="AN118" s="612">
        <f>AN116-AN117</f>
        <v>33058.6523232273</v>
      </c>
      <c r="AO118" s="612">
        <f>AO116-AO117</f>
        <v>32728.065799995</v>
      </c>
      <c r="AP118" s="612">
        <f>AP116-AP117</f>
        <v>32400.7851419951</v>
      </c>
      <c r="AQ118" s="612">
        <f>AQ116-AQ117</f>
        <v>32076.7772905751</v>
      </c>
      <c r="AR118" s="612">
        <f>AR116-AR117</f>
        <v>31756.0095176694</v>
      </c>
      <c r="AS118" s="612">
        <f>AS116-AS117</f>
        <v>31438.4494224927</v>
      </c>
      <c r="AT118" s="612">
        <f>AT116-AT117</f>
        <v>192819.6549</v>
      </c>
      <c r="AU118" s="612">
        <f>AU116-AU117</f>
        <v>34331.913</v>
      </c>
      <c r="AV118" s="612">
        <f>AV116-AV117</f>
        <v>33988.59387</v>
      </c>
      <c r="AW118" s="612">
        <f>AW116-AW117</f>
        <v>33648.7079313</v>
      </c>
      <c r="AX118" s="612">
        <f>AX116-AX117</f>
        <v>33312.220851987</v>
      </c>
      <c r="AY118" s="612">
        <f>AY116-AY117</f>
        <v>32979.0986434671</v>
      </c>
      <c r="AZ118" s="612">
        <f>AZ116-AZ117</f>
        <v>32649.3076570324</v>
      </c>
      <c r="BA118" s="612">
        <f>BA116-BA117</f>
        <v>32322.8145804621</v>
      </c>
      <c r="BB118" s="612">
        <f>BB116-BB117</f>
        <v>31999.5864346575</v>
      </c>
      <c r="BC118" s="654">
        <f>BC116-BC117</f>
        <v>31679.5905703109</v>
      </c>
      <c r="BD118" s="307">
        <f>IF(AI118=0,0,(AT118-AI118)/AI118*100)</f>
        <v>322.155758233283</v>
      </c>
      <c r="BE118" s="307">
        <f>IF(AT118=0,0,(AU118-AT118)/AT118*100)</f>
        <v>-82.1948063241762</v>
      </c>
      <c r="BF118" s="307">
        <f>IF(AU118=0,0,(AV118-AU118)/AU118*100)</f>
        <v>-1</v>
      </c>
      <c r="BG118" s="307">
        <f>IF(AV118=0,0,(AW118-AV118)/AV118*100)</f>
        <v>-0.99999999999999</v>
      </c>
      <c r="BH118" s="307">
        <f>IF(AW118=0,0,(AX118-AW118)/AW118*100)</f>
        <v>-1</v>
      </c>
      <c r="BI118" s="307">
        <f>IF(AX118=0,0,(AY118-AX118)/AX118*100)</f>
        <v>-1.0000000000001</v>
      </c>
      <c r="BJ118" s="307">
        <f>IF(AY118=0,0,(AZ118-AY118)/AY118*100)</f>
        <v>-1.0000000000001</v>
      </c>
      <c r="BK118" s="307">
        <f>IF(AZ118=0,0,(BA118-AZ118)/AZ118*100)</f>
        <v>-0.99999999999992</v>
      </c>
      <c r="BL118" s="307">
        <f>IF(BA118=0,0,(BB118-BA118)/BA118*100)</f>
        <v>-0.99999999999994</v>
      </c>
      <c r="BM118" s="307">
        <f>IF(BB118=0,0,(BC118-BB118)/BB118*100)</f>
        <v>-1.0000000000001</v>
      </c>
      <c r="BN118" s="74"/>
      <c r="BO118" s="74"/>
      <c r="BP118" s="74"/>
      <c r="BQ118" s="227"/>
      <c r="BR118" s="227"/>
      <c r="BS118" s="1233" t="s">
        <v>1683</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M11582::ТЭ.73.28136693.0002::Неопределено::Неопределено::Неопределено::Неопределено::Неопределено</v>
      </c>
    </row>
    <row s="1642" customFormat="1" customHeight="1" ht="14.25">
      <c r="A119" s="225"/>
      <c r="B119" s="925"/>
      <c r="C119" s="1299" t="s">
        <v>1684</v>
      </c>
      <c r="D119" s="1258" t="s">
        <v>1685</v>
      </c>
      <c r="E119" s="794">
        <v>15</v>
      </c>
      <c r="F119" s="920" cm="1" t="str">
        <f t="array" ref="F119:F119">OFFSET(G119,-1,-1)</f>
        <v>1</v>
      </c>
      <c r="G119" s="227"/>
      <c r="H119" s="227"/>
      <c r="I119" s="227"/>
      <c r="J119" s="227"/>
      <c r="K119" s="227"/>
      <c r="L119" s="190"/>
      <c r="M119" s="1282"/>
      <c r="N119" s="1282" cm="1" t="str">
        <f t="array" ref="N119:N119">OFFSET(M119,-1,1)</f>
        <v>ТЭ.73.28136693.0002</v>
      </c>
      <c r="O119" s="1283"/>
      <c r="P119" s="1283"/>
      <c r="Q119" s="1283"/>
      <c r="R119" s="1283"/>
      <c r="S119" s="1642"/>
      <c r="T119" s="805" cm="1" t="str">
        <f t="array" ref="T119:T119">T116</f>
        <v>true</v>
      </c>
      <c r="U119" s="1437"/>
      <c r="V119" s="1437"/>
      <c r="W119" s="1437"/>
      <c r="X119" s="1437"/>
      <c r="Y119" s="1437"/>
      <c r="Z119" s="1437"/>
      <c r="AA119" s="227"/>
      <c r="AB119" s="314" t="s">
        <v>1686</v>
      </c>
      <c r="AC119" s="310" t="s">
        <v>1687</v>
      </c>
      <c r="AD119" s="315" t="s">
        <v>586</v>
      </c>
      <c r="AE119" s="307">
        <f>IF($K82="передача тепловой энергии",_xlfn.SUMIFS('Баланс Тр'!AE$27:AE$43,'Баланс Тр'!$F$27:$F$43,$F119,'Баланс Тр'!$AB$27:$AB$43,"3"),_xlfn.SUMIFS('Баланс Пр'!AE$27:AE$165,'Баланс Пр'!$F$27:$F$165,$F119,'Баланс Пр'!$AB$27:$AB$165,"9.1"))</f>
        <v>331148.67</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331148.67</v>
      </c>
      <c r="AJ119" s="307">
        <f>IF($K82="передача тепловой энергии",_xlfn.SUMIFS('Баланс Тр'!AI$27:AI$43,'Баланс Тр'!$F$27:$F$43,$F119,'Баланс Тр'!$AB$27:$AB$43,"3"),_xlfn.SUMIFS('Баланс Пр'!AI$27:AI$165,'Баланс Пр'!$F$27:$F$165,$F119,'Баланс Пр'!$AB$27:$AB$165,"9.1"))</f>
        <v>324202.83797</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331148.67</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92"/>
      <c r="BO119" s="1792"/>
      <c r="BP119" s="1792"/>
      <c r="BQ119" s="227"/>
      <c r="BR119" s="227"/>
      <c r="BS119" s="1233" t="s">
        <v>1688</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M10502::ТЭ.73.28136693.0002::Неопределено::Неопределено::Неопределено::Неопределено::Неопределено</v>
      </c>
    </row>
    <row s="1642" customFormat="1" customHeight="1" ht="14.25">
      <c r="A120" s="225"/>
      <c r="B120" s="925"/>
      <c r="C120" s="1299" t="s">
        <v>1689</v>
      </c>
      <c r="D120" s="1258" t="s">
        <v>1690</v>
      </c>
      <c r="E120" s="794">
        <v>15</v>
      </c>
      <c r="F120" s="920" cm="1" t="str">
        <f t="array" ref="F120:F120">OFFSET(G120,-1,-1)</f>
        <v>1</v>
      </c>
      <c r="G120" s="190" t="s">
        <v>1691</v>
      </c>
      <c r="H120" s="227"/>
      <c r="I120" s="227"/>
      <c r="J120" s="227"/>
      <c r="K120" s="227"/>
      <c r="L120" s="190"/>
      <c r="M120" s="1282"/>
      <c r="N120" s="1282" cm="1" t="str">
        <f t="array" ref="N120:N120">OFFSET(M120,-1,1)</f>
        <v>ТЭ.73.28136693.0002</v>
      </c>
      <c r="O120" s="1283" t="s">
        <v>1692</v>
      </c>
      <c r="P120" s="1283"/>
      <c r="Q120" s="1283"/>
      <c r="R120" s="1283"/>
      <c r="S120" s="1642"/>
      <c r="T120" s="805" cm="1" t="str">
        <f t="array" ref="T120:T120">T119</f>
        <v>true</v>
      </c>
      <c r="U120" s="1437"/>
      <c r="V120" s="1437"/>
      <c r="W120" s="1437"/>
      <c r="X120" s="1437"/>
      <c r="Y120" s="1437"/>
      <c r="Z120" s="1437"/>
      <c r="AA120" s="227"/>
      <c r="AB120" s="660" t="str">
        <f>AB119&amp;".1"</f>
        <v>15.1</v>
      </c>
      <c r="AC120" s="286" t="s">
        <v>1693</v>
      </c>
      <c r="AD120" s="309" t="s">
        <v>586</v>
      </c>
      <c r="AE120" s="1981">
        <v>189888.22</v>
      </c>
      <c r="AF120" s="613"/>
      <c r="AG120" s="613"/>
      <c r="AH120" s="613"/>
      <c r="AI120" s="1981">
        <v>189888.22</v>
      </c>
      <c r="AJ120" s="614">
        <v>193887.78</v>
      </c>
      <c r="AK120" s="1979"/>
      <c r="AL120" s="1979"/>
      <c r="AM120" s="1981"/>
      <c r="AN120" s="1981"/>
      <c r="AO120" s="1981"/>
      <c r="AP120" s="1981"/>
      <c r="AQ120" s="1981"/>
      <c r="AR120" s="1981"/>
      <c r="AS120" s="1981"/>
      <c r="AT120" s="614">
        <v>189888.22</v>
      </c>
      <c r="AU120" s="1979"/>
      <c r="AV120" s="1979"/>
      <c r="AW120" s="1981"/>
      <c r="AX120" s="1981"/>
      <c r="AY120" s="1981"/>
      <c r="AZ120" s="1981"/>
      <c r="BA120" s="1981"/>
      <c r="BB120" s="1981"/>
      <c r="BC120" s="1981"/>
      <c r="BD120" s="374"/>
      <c r="BE120" s="374"/>
      <c r="BF120" s="374"/>
      <c r="BG120" s="374"/>
      <c r="BH120" s="374"/>
      <c r="BI120" s="374"/>
      <c r="BJ120" s="374"/>
      <c r="BK120" s="374"/>
      <c r="BL120" s="374"/>
      <c r="BM120" s="374"/>
      <c r="BN120" s="1792"/>
      <c r="BO120" s="1792"/>
      <c r="BP120" s="1792"/>
      <c r="BQ120" s="227"/>
      <c r="BR120" s="227"/>
      <c r="BS120" s="1233" t="s">
        <v>1694</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M10670::ТЭ.73.28136693.0002::Неопределено::8.0.3.::Неопределено::Неопределено::Неопределено</v>
      </c>
    </row>
    <row s="1642" customFormat="1" customHeight="1" ht="14.25">
      <c r="A121" s="225"/>
      <c r="B121" s="925"/>
      <c r="C121" s="1299" t="s">
        <v>1695</v>
      </c>
      <c r="D121" s="1258" t="s">
        <v>1696</v>
      </c>
      <c r="E121" s="794">
        <v>15</v>
      </c>
      <c r="F121" s="920" cm="1" t="str">
        <f t="array" ref="F121:F121">OFFSET(G121,-1,-1)</f>
        <v>1</v>
      </c>
      <c r="G121" s="190" t="s">
        <v>1697</v>
      </c>
      <c r="H121" s="227"/>
      <c r="I121" s="227"/>
      <c r="J121" s="227"/>
      <c r="K121" s="227"/>
      <c r="L121" s="190"/>
      <c r="M121" s="1282"/>
      <c r="N121" s="1282" cm="1" t="str">
        <f t="array" ref="N121:N121">OFFSET(M121,-1,1)</f>
        <v>ТЭ.73.28136693.0002</v>
      </c>
      <c r="O121" s="1283" t="s">
        <v>1692</v>
      </c>
      <c r="P121" s="1283"/>
      <c r="Q121" s="1283"/>
      <c r="R121" s="1283"/>
      <c r="S121" s="1642"/>
      <c r="T121" s="805" cm="1" t="str">
        <f t="array" ref="T121:T121">T120</f>
        <v>true</v>
      </c>
      <c r="U121" s="1437"/>
      <c r="V121" s="1437"/>
      <c r="W121" s="1437"/>
      <c r="X121" s="1437"/>
      <c r="Y121" s="1437"/>
      <c r="Z121" s="1437"/>
      <c r="AA121" s="227"/>
      <c r="AB121" s="660" t="str">
        <f>AB119&amp;".2"</f>
        <v>15.2</v>
      </c>
      <c r="AC121" s="286" t="s">
        <v>1698</v>
      </c>
      <c r="AD121" s="309" t="s">
        <v>889</v>
      </c>
      <c r="AE121" s="1981">
        <v>393.93</v>
      </c>
      <c r="AF121" s="613"/>
      <c r="AG121" s="613"/>
      <c r="AH121" s="613"/>
      <c r="AI121" s="1981">
        <f>MIN(AE123,AI125)</f>
        <v>137.928994007435</v>
      </c>
      <c r="AJ121" s="614">
        <f>MIN(AI123,AJ125)</f>
        <v>509.65</v>
      </c>
      <c r="AK121" s="1979">
        <f>MIN(AJ123,AK125)</f>
        <v>0</v>
      </c>
      <c r="AL121" s="1979">
        <f>MIN(AK123,AL125)</f>
        <v>0</v>
      </c>
      <c r="AM121" s="1981">
        <f>MIN(AL123,AM125)</f>
        <v>0</v>
      </c>
      <c r="AN121" s="1981">
        <f>MIN(AM123,AN125)</f>
        <v>0</v>
      </c>
      <c r="AO121" s="1981">
        <f>MIN(AN123,AO125)</f>
        <v>0</v>
      </c>
      <c r="AP121" s="1981">
        <f>MIN(AO123,AP125)</f>
        <v>0</v>
      </c>
      <c r="AQ121" s="1981">
        <f>MIN(AP123,AQ125)</f>
        <v>0</v>
      </c>
      <c r="AR121" s="1981">
        <f>MIN(AQ123,AR125)</f>
        <v>0</v>
      </c>
      <c r="AS121" s="1981">
        <f>MIN(AR123,AS125)</f>
        <v>0</v>
      </c>
      <c r="AT121" s="614">
        <f>MIN(AI123,AT125)</f>
        <v>509.65</v>
      </c>
      <c r="AU121" s="1979">
        <f>MIN(AT123,AU125)</f>
        <v>0</v>
      </c>
      <c r="AV121" s="1979">
        <f>MIN(AU123,AV125)</f>
        <v>0</v>
      </c>
      <c r="AW121" s="1981">
        <f>MIN(AV123,AW125)</f>
        <v>0</v>
      </c>
      <c r="AX121" s="1981">
        <f>MIN(AW123,AX125)</f>
        <v>0</v>
      </c>
      <c r="AY121" s="1981">
        <f>MIN(AX123,AY125)</f>
        <v>0</v>
      </c>
      <c r="AZ121" s="1981">
        <f>MIN(AY123,AZ125)</f>
        <v>0</v>
      </c>
      <c r="BA121" s="1981">
        <f>MIN(AZ123,BA125)</f>
        <v>0</v>
      </c>
      <c r="BB121" s="1981">
        <f>MIN(BA123,BB125)</f>
        <v>0</v>
      </c>
      <c r="BC121" s="1981">
        <f>MIN(BB123,BC125)</f>
        <v>0</v>
      </c>
      <c r="BD121" s="374"/>
      <c r="BE121" s="374"/>
      <c r="BF121" s="374"/>
      <c r="BG121" s="374"/>
      <c r="BH121" s="374"/>
      <c r="BI121" s="374"/>
      <c r="BJ121" s="374"/>
      <c r="BK121" s="374"/>
      <c r="BL121" s="374"/>
      <c r="BM121" s="374"/>
      <c r="BN121" s="1792"/>
      <c r="BO121" s="1792"/>
      <c r="BP121" s="1792"/>
      <c r="BQ121" s="227"/>
      <c r="BR121" s="227"/>
      <c r="BS121" s="1233" t="s">
        <v>1699</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M10546::ТЭ.73.28136693.0002::Неопределено::8.0.3.::Неопределено::Неопределено::Неопределено</v>
      </c>
    </row>
    <row s="1642" customFormat="1" customHeight="1" ht="14.25">
      <c r="A122" s="225"/>
      <c r="B122" s="925"/>
      <c r="C122" s="1299" t="s">
        <v>1689</v>
      </c>
      <c r="D122" s="1258" t="s">
        <v>1690</v>
      </c>
      <c r="E122" s="794">
        <v>15</v>
      </c>
      <c r="F122" s="920" cm="1" t="str">
        <f t="array" ref="F122:F122">OFFSET(G122,-1,-1)</f>
        <v>1</v>
      </c>
      <c r="G122" s="190" t="s">
        <v>1700</v>
      </c>
      <c r="H122" s="227"/>
      <c r="I122" s="227"/>
      <c r="J122" s="227"/>
      <c r="K122" s="227"/>
      <c r="L122" s="190"/>
      <c r="M122" s="1282"/>
      <c r="N122" s="1282" cm="1" t="str">
        <f t="array" ref="N122:N122">OFFSET(M122,-1,1)</f>
        <v>ТЭ.73.28136693.0002</v>
      </c>
      <c r="O122" s="1283" t="s">
        <v>1701</v>
      </c>
      <c r="P122" s="1283"/>
      <c r="Q122" s="1283"/>
      <c r="R122" s="1283"/>
      <c r="S122" s="1642"/>
      <c r="T122" s="805" cm="1" t="str">
        <f t="array" ref="T122:T122">T121</f>
        <v>true</v>
      </c>
      <c r="U122" s="1437"/>
      <c r="V122" s="1437"/>
      <c r="W122" s="1437"/>
      <c r="X122" s="1437"/>
      <c r="Y122" s="1437"/>
      <c r="Z122" s="1437"/>
      <c r="AA122" s="227"/>
      <c r="AB122" s="660" t="str">
        <f>AB119&amp;".3"</f>
        <v>15.3</v>
      </c>
      <c r="AC122" s="286" t="s">
        <v>1702</v>
      </c>
      <c r="AD122" s="309" t="s">
        <v>586</v>
      </c>
      <c r="AE122" s="612">
        <f>AE119-AE120</f>
        <v>141260.45</v>
      </c>
      <c r="AF122" s="613"/>
      <c r="AG122" s="613"/>
      <c r="AH122" s="613"/>
      <c r="AI122" s="612">
        <f>AI119-AI120</f>
        <v>141260.45</v>
      </c>
      <c r="AJ122" s="612">
        <f>AJ119-AJ120</f>
        <v>130315.05797</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141260.45</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92"/>
      <c r="BO122" s="1792"/>
      <c r="BP122" s="1792"/>
      <c r="BQ122" s="227"/>
      <c r="BR122" s="227"/>
      <c r="BS122" s="1233" t="s">
        <v>1703</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M10670::ТЭ.73.28136693.0002::Неопределено::8.0.5.::Неопределено::Неопределено::Неопределено</v>
      </c>
    </row>
    <row s="1642" customFormat="1" customHeight="1" ht="14.25">
      <c r="A123" s="225"/>
      <c r="B123" s="925"/>
      <c r="C123" s="1299" t="s">
        <v>1695</v>
      </c>
      <c r="D123" s="1258" t="s">
        <v>1696</v>
      </c>
      <c r="E123" s="794">
        <v>15</v>
      </c>
      <c r="F123" s="920" cm="1" t="str">
        <f t="array" ref="F123:F123">OFFSET(G123,-1,-1)</f>
        <v>1</v>
      </c>
      <c r="G123" s="190" t="s">
        <v>1704</v>
      </c>
      <c r="H123" s="227"/>
      <c r="I123" s="227"/>
      <c r="J123" s="227"/>
      <c r="K123" s="227"/>
      <c r="L123" s="190"/>
      <c r="M123" s="1282"/>
      <c r="N123" s="1282" cm="1" t="str">
        <f t="array" ref="N123:N123">OFFSET(M123,-1,1)</f>
        <v>ТЭ.73.28136693.0002</v>
      </c>
      <c r="O123" s="1283" t="s">
        <v>1701</v>
      </c>
      <c r="P123" s="1283"/>
      <c r="Q123" s="1283"/>
      <c r="R123" s="1283"/>
      <c r="S123" s="1642"/>
      <c r="T123" s="805" cm="1" t="str">
        <f t="array" ref="T123:T123">T122</f>
        <v>true</v>
      </c>
      <c r="U123" s="1437"/>
      <c r="V123" s="1437"/>
      <c r="W123" s="1437"/>
      <c r="X123" s="1437"/>
      <c r="Y123" s="1437"/>
      <c r="Z123" s="1437"/>
      <c r="AA123" s="227"/>
      <c r="AB123" s="660" t="str">
        <f>AB119&amp;".4"</f>
        <v>15.4</v>
      </c>
      <c r="AC123" s="286" t="s">
        <v>1705</v>
      </c>
      <c r="AD123" s="309" t="s">
        <v>889</v>
      </c>
      <c r="AE123" s="1981">
        <v>473.76</v>
      </c>
      <c r="AF123" s="613"/>
      <c r="AG123" s="613"/>
      <c r="AH123" s="613"/>
      <c r="AI123" s="1981">
        <v>509.65</v>
      </c>
      <c r="AJ123" s="614">
        <f>_xlfn.IFERROR((AJ116*1000-AJ120*AJ121)/AJ122,0)</f>
        <v>2719.41230210389</v>
      </c>
      <c r="AK123" s="1979">
        <f>_xlfn.IFERROR((AK116*1000-AK120*AK121)/AK122,0)</f>
        <v>0</v>
      </c>
      <c r="AL123" s="1979">
        <f>_xlfn.IFERROR((AL116*1000-AL120*AL121)/AL122,0)</f>
        <v>0</v>
      </c>
      <c r="AM123" s="1981">
        <f>_xlfn.IFERROR((AM116*1000-AM120*AM121)/AM122,0)</f>
        <v>0</v>
      </c>
      <c r="AN123" s="1981">
        <f>_xlfn.IFERROR((AN116*1000-AN120*AN121)/AN122,0)</f>
        <v>0</v>
      </c>
      <c r="AO123" s="1981">
        <f>_xlfn.IFERROR((AO116*1000-AO120*AO121)/AO122,0)</f>
        <v>0</v>
      </c>
      <c r="AP123" s="1981">
        <f>_xlfn.IFERROR((AP116*1000-AP120*AP121)/AP122,0)</f>
        <v>0</v>
      </c>
      <c r="AQ123" s="1981">
        <f>_xlfn.IFERROR((AQ116*1000-AQ120*AQ121)/AQ122,0)</f>
        <v>0</v>
      </c>
      <c r="AR123" s="1981">
        <f>_xlfn.IFERROR((AR116*1000-AR120*AR121)/AR122,0)</f>
        <v>0</v>
      </c>
      <c r="AS123" s="1981">
        <f>_xlfn.IFERROR((AS116*1000-AS120*AS121)/AS122,0)</f>
        <v>0</v>
      </c>
      <c r="AT123" s="614">
        <v>679.9</v>
      </c>
      <c r="AU123" s="1979">
        <f>_xlfn.IFERROR((AU116*1000-AU120*AU121)/AU122,0)</f>
        <v>0</v>
      </c>
      <c r="AV123" s="1979">
        <f>_xlfn.IFERROR((AV116*1000-AV120*AV121)/AV122,0)</f>
        <v>0</v>
      </c>
      <c r="AW123" s="1981">
        <f>_xlfn.IFERROR((AW116*1000-AW120*AW121)/AW122,0)</f>
        <v>0</v>
      </c>
      <c r="AX123" s="1981">
        <f>_xlfn.IFERROR((AX116*1000-AX120*AX121)/AX122,0)</f>
        <v>0</v>
      </c>
      <c r="AY123" s="1981">
        <f>_xlfn.IFERROR((AY116*1000-AY120*AY121)/AY122,0)</f>
        <v>0</v>
      </c>
      <c r="AZ123" s="1981">
        <f>_xlfn.IFERROR((AZ116*1000-AZ120*AZ121)/AZ122,0)</f>
        <v>0</v>
      </c>
      <c r="BA123" s="1981">
        <f>_xlfn.IFERROR((BA116*1000-BA120*BA121)/BA122,0)</f>
        <v>0</v>
      </c>
      <c r="BB123" s="1981">
        <f>_xlfn.IFERROR((BB116*1000-BB120*BB121)/BB122,0)</f>
        <v>0</v>
      </c>
      <c r="BC123" s="1981">
        <f>_xlfn.IFERROR((BC116*1000-BC120*BC121)/BC122,0)</f>
        <v>0</v>
      </c>
      <c r="BD123" s="374"/>
      <c r="BE123" s="374"/>
      <c r="BF123" s="374"/>
      <c r="BG123" s="374"/>
      <c r="BH123" s="374"/>
      <c r="BI123" s="374"/>
      <c r="BJ123" s="374"/>
      <c r="BK123" s="374"/>
      <c r="BL123" s="374"/>
      <c r="BM123" s="374"/>
      <c r="BN123" s="1792"/>
      <c r="BO123" s="1792"/>
      <c r="BP123" s="1792"/>
      <c r="BQ123" s="227"/>
      <c r="BR123" s="227"/>
      <c r="BS123" s="1233" t="s">
        <v>1706</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M10546::ТЭ.73.28136693.0002::Неопределено::8.0.5.::Неопределено::Неопределено::Неопределено</v>
      </c>
    </row>
    <row s="1642" customFormat="1" customHeight="1" ht="14.25">
      <c r="A124" s="225"/>
      <c r="B124" s="925"/>
      <c r="C124" s="1299" t="s">
        <v>1707</v>
      </c>
      <c r="D124" s="1258" t="s">
        <v>1708</v>
      </c>
      <c r="E124" s="794">
        <v>15</v>
      </c>
      <c r="F124" s="920" cm="1" t="str">
        <f t="array" ref="F124:F124">OFFSET(G124,-1,-1)</f>
        <v>1</v>
      </c>
      <c r="G124" s="227"/>
      <c r="H124" s="227"/>
      <c r="I124" s="227"/>
      <c r="J124" s="227"/>
      <c r="K124" s="227"/>
      <c r="L124" s="190"/>
      <c r="M124" s="1282"/>
      <c r="N124" s="1282" cm="1" t="str">
        <f t="array" ref="N124:N124">OFFSET(M124,-1,1)</f>
        <v>ТЭ.73.28136693.0002</v>
      </c>
      <c r="O124" s="1283"/>
      <c r="P124" s="1283"/>
      <c r="Q124" s="1283"/>
      <c r="R124" s="1283"/>
      <c r="S124" s="1642"/>
      <c r="T124" s="805" cm="1" t="str">
        <f t="array" ref="T124:T124">T123</f>
        <v>true</v>
      </c>
      <c r="U124" s="1437"/>
      <c r="V124" s="1437"/>
      <c r="W124" s="1437"/>
      <c r="X124" s="1437"/>
      <c r="Y124" s="1437"/>
      <c r="Z124" s="1437"/>
      <c r="AA124" s="227"/>
      <c r="AB124" s="660" t="str">
        <f>AB119&amp;".5"</f>
        <v>15.5</v>
      </c>
      <c r="AC124" s="312" t="s">
        <v>1709</v>
      </c>
      <c r="AD124" s="309" t="s">
        <v>485</v>
      </c>
      <c r="AE124" s="662">
        <f>_xlfn.IFERROR(AE123/AE121,0)</f>
        <v>1.20265021704364</v>
      </c>
      <c r="AF124" s="613"/>
      <c r="AG124" s="613"/>
      <c r="AH124" s="613"/>
      <c r="AI124" s="662">
        <f>_xlfn.IFERROR(AI123/AI121,0)</f>
        <v>3.69501716203721</v>
      </c>
      <c r="AJ124" s="662">
        <f>_xlfn.IFERROR(AJ123/AJ121,0)</f>
        <v>5.33584283744509</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1.33405278132051</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92"/>
      <c r="BO124" s="1792"/>
      <c r="BP124" s="1792"/>
      <c r="BQ124" s="227"/>
      <c r="BR124" s="227"/>
      <c r="BS124" s="1233" t="s">
        <v>1710</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M11244::ТЭ.73.28136693.0002::Неопределено::Неопределено::Неопределено::Неопределено::Неопределено</v>
      </c>
    </row>
    <row s="1642" customFormat="1" customHeight="1" ht="14.25">
      <c r="A125" s="225"/>
      <c r="B125" s="925"/>
      <c r="C125" s="1299" t="s">
        <v>1711</v>
      </c>
      <c r="D125" s="1258" t="s">
        <v>1712</v>
      </c>
      <c r="E125" s="794">
        <v>15</v>
      </c>
      <c r="F125" s="920" cm="1" t="str">
        <f t="array" ref="F125:F125">OFFSET(G125,-1,-1)</f>
        <v>1</v>
      </c>
      <c r="G125" s="227"/>
      <c r="H125" s="227"/>
      <c r="I125" s="227"/>
      <c r="J125" s="227"/>
      <c r="K125" s="227"/>
      <c r="L125" s="190"/>
      <c r="M125" s="1282"/>
      <c r="N125" s="1282" cm="1" t="str">
        <f t="array" ref="N125:N125">OFFSET(M125,-1,1)</f>
        <v>ТЭ.73.28136693.0002</v>
      </c>
      <c r="O125" s="1283"/>
      <c r="P125" s="1283"/>
      <c r="Q125" s="1283"/>
      <c r="R125" s="1283"/>
      <c r="S125" s="1642"/>
      <c r="T125" s="805" cm="1" t="str">
        <f t="array" ref="T125:T125">T124</f>
        <v>true</v>
      </c>
      <c r="U125" s="1437"/>
      <c r="V125" s="1437"/>
      <c r="W125" s="1437"/>
      <c r="X125" s="1437"/>
      <c r="Y125" s="1437"/>
      <c r="Z125" s="1437"/>
      <c r="AA125" s="227"/>
      <c r="AB125" s="660" t="str">
        <f>AB119&amp;".6"</f>
        <v>15.6</v>
      </c>
      <c r="AC125" s="312" t="s">
        <v>1713</v>
      </c>
      <c r="AD125" s="309" t="s">
        <v>889</v>
      </c>
      <c r="AE125" s="612">
        <f>_xlfn.IFERROR(AE116*1000/AE119,0)</f>
        <v>123.139283633541</v>
      </c>
      <c r="AF125" s="613"/>
      <c r="AG125" s="613"/>
      <c r="AH125" s="613"/>
      <c r="AI125" s="612">
        <f>_xlfn.IFERROR(AI116*1000/AI119,0)</f>
        <v>137.928994007435</v>
      </c>
      <c r="AJ125" s="612">
        <f>_xlfn.IFERROR(AJ116*1000/AJ119,0)</f>
        <v>1397.87573023015</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582.275190475625</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92"/>
      <c r="BO125" s="1792"/>
      <c r="BP125" s="1792"/>
      <c r="BQ125" s="227"/>
      <c r="BR125" s="227"/>
      <c r="BS125" s="1233" t="s">
        <v>1714</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M10552::ТЭ.73.28136693.0002::Неопределено::Неопределено::Неопределено::Неопределено::Неопределено</v>
      </c>
    </row>
    <row s="1642" customFormat="1" customHeight="1" ht="14.25" hidden="1">
      <c r="A126" s="225"/>
      <c r="B126" s="925"/>
      <c r="C126" s="1299" t="s">
        <v>1715</v>
      </c>
      <c r="D126" s="1258" t="s">
        <v>1716</v>
      </c>
      <c r="E126" s="794">
        <v>15</v>
      </c>
      <c r="F126" s="920" cm="1" t="str">
        <f t="array" ref="F126:F126">OFFSET(G126,-1,-1)</f>
        <v>1</v>
      </c>
      <c r="G126" s="227"/>
      <c r="H126" s="227"/>
      <c r="I126" s="227"/>
      <c r="J126" s="227"/>
      <c r="K126" s="227"/>
      <c r="L126" s="190" t="s">
        <v>1678</v>
      </c>
      <c r="M126" s="1282"/>
      <c r="N126" s="1282" cm="1" t="str">
        <f t="array" ref="N126:N126">OFFSET(M126,-1,1)</f>
        <v>ТЭ.73.28136693.0002</v>
      </c>
      <c r="O126" s="1283"/>
      <c r="P126" s="1283"/>
      <c r="Q126" s="1283"/>
      <c r="R126" s="1283"/>
      <c r="S126" s="1642"/>
      <c r="T126" s="805" cm="1" t="str">
        <f t="array" ref="T126:T126">T117</f>
        <v>false</v>
      </c>
      <c r="U126" s="1437"/>
      <c r="V126" s="1437"/>
      <c r="W126" s="1437"/>
      <c r="X126" s="1437"/>
      <c r="Y126" s="1437"/>
      <c r="Z126" s="1437"/>
      <c r="AA126" s="227"/>
      <c r="AB126" s="314" t="s">
        <v>1717</v>
      </c>
      <c r="AC126" s="887" t="s">
        <v>1718</v>
      </c>
      <c r="AD126" s="664" t="s">
        <v>684</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685</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M10476::ТЭ.73.28136693.0002::Неопределено::Неопределено::Неопределено::Неопределено::Неопределено</v>
      </c>
    </row>
    <row s="1642" customFormat="1" customHeight="1" ht="14.25" hidden="1">
      <c r="A127" s="225"/>
      <c r="B127" s="925"/>
      <c r="C127" s="1299" t="s">
        <v>1715</v>
      </c>
      <c r="D127" s="1258" t="s">
        <v>1716</v>
      </c>
      <c r="E127" s="794">
        <v>15</v>
      </c>
      <c r="F127" s="920" cm="1" t="str">
        <f t="array" ref="F127:F127">OFFSET(G127,-1,-1)</f>
        <v>1</v>
      </c>
      <c r="G127" s="190" t="s">
        <v>1719</v>
      </c>
      <c r="H127" s="227"/>
      <c r="I127" s="227"/>
      <c r="J127" s="227"/>
      <c r="K127" s="227"/>
      <c r="L127" s="190" t="s">
        <v>1678</v>
      </c>
      <c r="M127" s="1282"/>
      <c r="N127" s="1282" cm="1" t="str">
        <f t="array" ref="N127:N127">OFFSET(M127,-1,1)</f>
        <v>ТЭ.73.28136693.0002</v>
      </c>
      <c r="O127" s="1283" t="s">
        <v>1692</v>
      </c>
      <c r="P127" s="1283"/>
      <c r="Q127" s="1283"/>
      <c r="R127" s="1283"/>
      <c r="S127" s="1642"/>
      <c r="T127" s="805" cm="1" t="str">
        <f t="array" ref="T127:T127">T126</f>
        <v>false</v>
      </c>
      <c r="U127" s="1437"/>
      <c r="V127" s="1437"/>
      <c r="W127" s="1437"/>
      <c r="X127" s="1437"/>
      <c r="Y127" s="1437"/>
      <c r="Z127" s="1437"/>
      <c r="AA127" s="227"/>
      <c r="AB127" s="660" t="str">
        <f>AB126&amp;".1"</f>
        <v>16.1</v>
      </c>
      <c r="AC127" s="720" t="s">
        <v>1720</v>
      </c>
      <c r="AD127" s="620" t="s">
        <v>684</v>
      </c>
      <c r="AE127" s="122" cm="1" t="str">
        <f t="array" ref="AE127:AE127">AE126</f>
        <v>0</v>
      </c>
      <c r="AF127" s="613"/>
      <c r="AG127" s="613"/>
      <c r="AH127" s="613"/>
      <c r="AI127" s="122" cm="1" t="str">
        <f t="array" ref="AI127:AI127">AI126</f>
        <v>0</v>
      </c>
      <c r="AJ127" s="614" cm="1" t="str">
        <f t="array" ref="AJ127:AJ127">AJ126</f>
        <v>0</v>
      </c>
      <c r="AK127" s="1979" cm="1" t="str">
        <f t="array" ref="AK127:AK127">AK126</f>
        <v>0</v>
      </c>
      <c r="AL127" s="1979" cm="1" t="str">
        <f t="array" ref="AL127:AL127">AL126</f>
        <v>0</v>
      </c>
      <c r="AM127" s="122"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979" cm="1" t="str">
        <f t="array" ref="AU127:AU127">AU126</f>
        <v>0</v>
      </c>
      <c r="AV127" s="1979" cm="1" t="str">
        <f t="array" ref="AV127:AV127">AV126</f>
        <v>0</v>
      </c>
      <c r="AW127" s="122"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1721</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M10476::ТЭ.73.28136693.0002::Неопределено::8.0.3.::Неопределено::Неопределено::Неопределено</v>
      </c>
    </row>
    <row s="1642" customFormat="1" customHeight="1" ht="14.25" hidden="1">
      <c r="A128" s="225"/>
      <c r="B128" s="925"/>
      <c r="C128" s="1299" t="s">
        <v>1715</v>
      </c>
      <c r="D128" s="1258" t="s">
        <v>1716</v>
      </c>
      <c r="E128" s="794">
        <v>15</v>
      </c>
      <c r="F128" s="920" cm="1" t="str">
        <f t="array" ref="F128:F128">OFFSET(G128,-1,-1)</f>
        <v>1</v>
      </c>
      <c r="G128" s="190" t="s">
        <v>1722</v>
      </c>
      <c r="H128" s="227"/>
      <c r="I128" s="227"/>
      <c r="J128" s="227"/>
      <c r="K128" s="227"/>
      <c r="L128" s="190" t="s">
        <v>1678</v>
      </c>
      <c r="M128" s="1282"/>
      <c r="N128" s="1282" cm="1" t="str">
        <f t="array" ref="N128:N128">OFFSET(M128,-1,1)</f>
        <v>ТЭ.73.28136693.0002</v>
      </c>
      <c r="O128" s="1283" t="s">
        <v>1701</v>
      </c>
      <c r="P128" s="1283"/>
      <c r="Q128" s="1283"/>
      <c r="R128" s="1283"/>
      <c r="S128" s="1642"/>
      <c r="T128" s="805" cm="1" t="str">
        <f t="array" ref="T128:T128">T127</f>
        <v>false</v>
      </c>
      <c r="U128" s="1437"/>
      <c r="V128" s="1437"/>
      <c r="W128" s="1437"/>
      <c r="X128" s="1437"/>
      <c r="Y128" s="1437"/>
      <c r="Z128" s="1437"/>
      <c r="AA128" s="227"/>
      <c r="AB128" s="660" t="str">
        <f>AB126&amp;".2"</f>
        <v>16.2</v>
      </c>
      <c r="AC128" s="720" t="s">
        <v>1723</v>
      </c>
      <c r="AD128" s="620" t="s">
        <v>684</v>
      </c>
      <c r="AE128" s="122" cm="1" t="str">
        <f t="array" ref="AE128:AE128">AE126</f>
        <v>0</v>
      </c>
      <c r="AF128" s="613"/>
      <c r="AG128" s="613"/>
      <c r="AH128" s="613"/>
      <c r="AI128" s="122" cm="1" t="str">
        <f t="array" ref="AI128:AI128">AI126</f>
        <v>0</v>
      </c>
      <c r="AJ128" s="614" cm="1" t="str">
        <f t="array" ref="AJ128:AJ128">AJ126</f>
        <v>0</v>
      </c>
      <c r="AK128" s="1979" cm="1" t="str">
        <f t="array" ref="AK128:AK128">AK126</f>
        <v>0</v>
      </c>
      <c r="AL128" s="1979" cm="1" t="str">
        <f t="array" ref="AL128:AL128">AL126</f>
        <v>0</v>
      </c>
      <c r="AM128" s="122"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979" cm="1" t="str">
        <f t="array" ref="AU128:AU128">AU126</f>
        <v>0</v>
      </c>
      <c r="AV128" s="1979" cm="1" t="str">
        <f t="array" ref="AV128:AV128">AV126</f>
        <v>0</v>
      </c>
      <c r="AW128" s="122"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1724</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M10476::ТЭ.73.28136693.0002::Неопределено::8.0.5.::Неопределено::Неопределено::Неопределено</v>
      </c>
    </row>
    <row s="1642" customFormat="1" customHeight="1" ht="14.25" hidden="1">
      <c r="A129" s="225"/>
      <c r="B129" s="925"/>
      <c r="C129" s="1299"/>
      <c r="D129" s="1258"/>
      <c r="E129" s="794">
        <v>15</v>
      </c>
      <c r="F129" s="920" cm="1" t="str">
        <f t="array" ref="F129:F129">OFFSET(G129,-1,-1)</f>
        <v>1</v>
      </c>
      <c r="G129" s="227"/>
      <c r="H129" s="227"/>
      <c r="I129" s="227"/>
      <c r="J129" s="227"/>
      <c r="K129" s="227"/>
      <c r="L129" s="190" t="s">
        <v>1678</v>
      </c>
      <c r="M129" s="1282"/>
      <c r="N129" s="1282" cm="1" t="str">
        <f t="array" ref="N129:N129">OFFSET(M129,-1,1)</f>
        <v>ТЭ.73.28136693.0002</v>
      </c>
      <c r="O129" s="1283"/>
      <c r="P129" s="1283"/>
      <c r="Q129" s="1283"/>
      <c r="R129" s="1283"/>
      <c r="S129" s="1642"/>
      <c r="T129" s="805" cm="1" t="str">
        <f t="array" ref="T129:T129">T128</f>
        <v>false</v>
      </c>
      <c r="U129" s="1437"/>
      <c r="V129" s="1437"/>
      <c r="W129" s="1437"/>
      <c r="X129" s="1437"/>
      <c r="Y129" s="1437"/>
      <c r="Z129" s="1437"/>
      <c r="AA129" s="227"/>
      <c r="AB129" s="659" t="s">
        <v>1725</v>
      </c>
      <c r="AC129" s="618" t="s">
        <v>1726</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1727</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M11407::ТЭ.73.28136693.0002::Неопределено::Неопределено::Неопределено::Неопределено::Неопределено</v>
      </c>
    </row>
    <row s="1642" customFormat="1" customHeight="1" ht="14.25" hidden="1">
      <c r="A130" s="225"/>
      <c r="B130" s="925"/>
      <c r="C130" s="1299" t="s">
        <v>1728</v>
      </c>
      <c r="D130" s="1258" t="s">
        <v>1729</v>
      </c>
      <c r="E130" s="794">
        <v>15</v>
      </c>
      <c r="F130" s="920" cm="1" t="str">
        <f t="array" ref="F130:F130">OFFSET(G130,-1,-1)</f>
        <v>1</v>
      </c>
      <c r="G130" s="190" t="s">
        <v>1730</v>
      </c>
      <c r="H130" s="227"/>
      <c r="I130" s="227"/>
      <c r="J130" s="227"/>
      <c r="K130" s="227"/>
      <c r="L130" s="190" t="s">
        <v>1678</v>
      </c>
      <c r="M130" s="1282"/>
      <c r="N130" s="1282" cm="1" t="str">
        <f t="array" ref="N130:N130">OFFSET(M130,-1,1)</f>
        <v>ТЭ.73.28136693.0002</v>
      </c>
      <c r="O130" s="1283" t="s">
        <v>1692</v>
      </c>
      <c r="P130" s="1283"/>
      <c r="Q130" s="1283"/>
      <c r="R130" s="1283"/>
      <c r="S130" s="1642"/>
      <c r="T130" s="805" cm="1" t="str">
        <f t="array" ref="T130:T130">T129</f>
        <v>false</v>
      </c>
      <c r="U130" s="1437"/>
      <c r="V130" s="1437"/>
      <c r="W130" s="1437"/>
      <c r="X130" s="1437"/>
      <c r="Y130" s="1437"/>
      <c r="Z130" s="1437"/>
      <c r="AA130" s="227"/>
      <c r="AB130" s="660" t="str">
        <f>AB129&amp;".1"</f>
        <v>17.1</v>
      </c>
      <c r="AC130" s="1347" t="s">
        <v>1731</v>
      </c>
      <c r="AD130" s="517" t="s">
        <v>889</v>
      </c>
      <c r="AE130" s="122"/>
      <c r="AF130" s="613"/>
      <c r="AG130" s="613"/>
      <c r="AH130" s="613"/>
      <c r="AI130" s="122">
        <f>MIN(AE131,_xlfn.IFERROR(AI117*1000/AI119,0))</f>
        <v>0</v>
      </c>
      <c r="AJ130" s="614">
        <f>MIN(AI131,_xlfn.IFERROR(AJ117*1000/AJ119,0))</f>
        <v>0</v>
      </c>
      <c r="AK130" s="1979">
        <f>MIN(AJ131,_xlfn.IFERROR(AK117*1000/AK119,0))</f>
        <v>0</v>
      </c>
      <c r="AL130" s="1979">
        <f>MIN(AK131,_xlfn.IFERROR(AL117*1000/AL119,0))</f>
        <v>0</v>
      </c>
      <c r="AM130" s="122">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979">
        <f>MIN(AT131,_xlfn.IFERROR(AU117*1000/AU119,0))</f>
        <v>0</v>
      </c>
      <c r="AV130" s="1979">
        <f>MIN(AU131,_xlfn.IFERROR(AV117*1000/AV119,0))</f>
        <v>0</v>
      </c>
      <c r="AW130" s="122">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1732</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M11407::ТЭ.73.28136693.0002::Неопределено::8.0.3.::Неопределено::Неопределено::Неопределено</v>
      </c>
    </row>
    <row s="1642" customFormat="1" customHeight="1" ht="14.25" hidden="1">
      <c r="A131" s="225"/>
      <c r="B131" s="925"/>
      <c r="C131" s="1299" t="s">
        <v>1728</v>
      </c>
      <c r="D131" s="1258" t="s">
        <v>1729</v>
      </c>
      <c r="E131" s="794">
        <v>15</v>
      </c>
      <c r="F131" s="920" cm="1" t="str">
        <f t="array" ref="F131:F131">OFFSET(G131,-1,-1)</f>
        <v>1</v>
      </c>
      <c r="G131" s="190" t="s">
        <v>1733</v>
      </c>
      <c r="H131" s="227"/>
      <c r="I131" s="227"/>
      <c r="J131" s="227"/>
      <c r="K131" s="227"/>
      <c r="L131" s="190" t="s">
        <v>1678</v>
      </c>
      <c r="M131" s="1282"/>
      <c r="N131" s="1282" cm="1" t="str">
        <f t="array" ref="N131:N131">OFFSET(M131,-1,1)</f>
        <v>ТЭ.73.28136693.0002</v>
      </c>
      <c r="O131" s="1283" t="s">
        <v>1701</v>
      </c>
      <c r="P131" s="1283"/>
      <c r="Q131" s="1283"/>
      <c r="R131" s="1283"/>
      <c r="S131" s="1642"/>
      <c r="T131" s="805" cm="1" t="str">
        <f t="array" ref="T131:T131">T130</f>
        <v>false</v>
      </c>
      <c r="U131" s="1437"/>
      <c r="V131" s="1437"/>
      <c r="W131" s="1437"/>
      <c r="X131" s="1437"/>
      <c r="Y131" s="1437"/>
      <c r="Z131" s="1437"/>
      <c r="AA131" s="227"/>
      <c r="AB131" s="660" t="str">
        <f>AB129&amp;".2"</f>
        <v>17.2</v>
      </c>
      <c r="AC131" s="1347" t="s">
        <v>1734</v>
      </c>
      <c r="AD131" s="517" t="s">
        <v>889</v>
      </c>
      <c r="AE131" s="612">
        <f>_xlfn.IFERROR((AE117*1000-AE120*AE130)/AE122,0)</f>
        <v>0</v>
      </c>
      <c r="AF131" s="613"/>
      <c r="AG131" s="613"/>
      <c r="AH131" s="613"/>
      <c r="AI131" s="612">
        <f>_xlfn.IFERROR((AI117*1000-AI120*AI130)/AI122,0)</f>
        <v>0</v>
      </c>
      <c r="AJ131" s="612">
        <f>_xlfn.IFERROR((AJ117*1000-AJ120*AJ130)/AJ122,0)</f>
        <v>0</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0</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1735</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M11407::ТЭ.73.28136693.0002::Неопределено::8.0.5.::Неопределено::Неопределено::Неопределено</v>
      </c>
    </row>
    <row s="1642" customFormat="1" customHeight="1" ht="14.25" hidden="1">
      <c r="A132" s="225"/>
      <c r="B132" s="925"/>
      <c r="C132" s="1299" t="s">
        <v>1736</v>
      </c>
      <c r="D132" s="1258" t="s">
        <v>1737</v>
      </c>
      <c r="E132" s="794">
        <v>15</v>
      </c>
      <c r="F132" s="920" cm="1" t="str">
        <f t="array" ref="F132:F132">OFFSET(G132,-1,-1)</f>
        <v>1</v>
      </c>
      <c r="G132" s="227"/>
      <c r="H132" s="227"/>
      <c r="I132" s="227"/>
      <c r="J132" s="227"/>
      <c r="K132" s="227"/>
      <c r="L132" s="190" t="s">
        <v>1678</v>
      </c>
      <c r="M132" s="1282"/>
      <c r="N132" s="1282" cm="1" t="str">
        <f t="array" ref="N132:N132">OFFSET(M132,-1,1)</f>
        <v>ТЭ.73.28136693.0002</v>
      </c>
      <c r="O132" s="1283"/>
      <c r="P132" s="1283" t="s">
        <v>1738</v>
      </c>
      <c r="Q132" s="1283"/>
      <c r="R132" s="1283"/>
      <c r="S132" s="1642"/>
      <c r="T132" s="805" cm="1" t="str">
        <f t="array" ref="T132:T132">T131</f>
        <v>false</v>
      </c>
      <c r="U132" s="1437"/>
      <c r="V132" s="1437"/>
      <c r="W132" s="1437"/>
      <c r="X132" s="1437"/>
      <c r="Y132" s="1437"/>
      <c r="Z132" s="1437"/>
      <c r="AA132" s="227"/>
      <c r="AB132" s="660" t="str">
        <f>AB129&amp;".3"</f>
        <v>17.3</v>
      </c>
      <c r="AC132" s="312" t="s">
        <v>1739</v>
      </c>
      <c r="AD132" s="517" t="s">
        <v>485</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1740</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M10444::ТЭ.73.28136693.0002::Неопределено::Неопределено::90.0.0.::Неопределено::Неопределено</v>
      </c>
    </row>
    <row s="1642" customFormat="1" customHeight="1" ht="31.5" hidden="1">
      <c r="A133" s="225"/>
      <c r="B133" s="925"/>
      <c r="C133" s="1299"/>
      <c r="D133" s="1258"/>
      <c r="E133" s="794">
        <v>33</v>
      </c>
      <c r="F133" s="920" cm="1" t="str">
        <f t="array" ref="F133:F133">OFFSET(G133,-1,-1)</f>
        <v>1</v>
      </c>
      <c r="G133" s="227"/>
      <c r="H133" s="227"/>
      <c r="I133" s="227"/>
      <c r="J133" s="227"/>
      <c r="K133" s="227"/>
      <c r="L133" s="190" t="s">
        <v>1678</v>
      </c>
      <c r="M133" s="1282"/>
      <c r="N133" s="1282" cm="1" t="str">
        <f t="array" ref="N133:N133">OFFSET(M133,-1,1)</f>
        <v>ТЭ.73.28136693.0002</v>
      </c>
      <c r="O133" s="1283"/>
      <c r="P133" s="1283"/>
      <c r="Q133" s="1283"/>
      <c r="R133" s="1283"/>
      <c r="S133" s="1642"/>
      <c r="T133" s="805" cm="1" t="str">
        <f t="array" ref="T133:T133">T132</f>
        <v>false</v>
      </c>
      <c r="U133" s="1437"/>
      <c r="V133" s="1437"/>
      <c r="W133" s="1437"/>
      <c r="X133" s="1437"/>
      <c r="Y133" s="1437"/>
      <c r="Z133" s="1437"/>
      <c r="AA133" s="227"/>
      <c r="AB133" s="283" t="s">
        <v>548</v>
      </c>
      <c r="AC133" s="618" t="s">
        <v>1741</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1742</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M11397::ТЭ.73.28136693.0002::Неопределено::Неопределено::Неопределено::Неопределено::Неопределено</v>
      </c>
    </row>
    <row s="1642" customFormat="1" customHeight="1" ht="31.5" hidden="1">
      <c r="A134" s="225"/>
      <c r="B134" s="925"/>
      <c r="C134" s="1299" t="s">
        <v>1743</v>
      </c>
      <c r="D134" s="1258" t="s">
        <v>1744</v>
      </c>
      <c r="E134" s="794">
        <v>33</v>
      </c>
      <c r="F134" s="920" cm="1" t="str">
        <f t="array" ref="F134:F134">OFFSET(G134,-1,-1)</f>
        <v>1</v>
      </c>
      <c r="G134" s="190" t="s">
        <v>1745</v>
      </c>
      <c r="H134" s="227"/>
      <c r="I134" s="227"/>
      <c r="J134" s="227"/>
      <c r="K134" s="227"/>
      <c r="L134" s="190" t="s">
        <v>1678</v>
      </c>
      <c r="M134" s="1282"/>
      <c r="N134" s="1282" cm="1" t="str">
        <f t="array" ref="N134:N134">OFFSET(M134,-1,1)</f>
        <v>ТЭ.73.28136693.0002</v>
      </c>
      <c r="O134" s="1283" t="s">
        <v>1692</v>
      </c>
      <c r="P134" s="1283"/>
      <c r="Q134" s="1283"/>
      <c r="R134" s="1283"/>
      <c r="S134" s="1642"/>
      <c r="T134" s="805" cm="1" t="str">
        <f t="array" ref="T134:T134">T133</f>
        <v>false</v>
      </c>
      <c r="U134" s="1437"/>
      <c r="V134" s="1437"/>
      <c r="W134" s="1437"/>
      <c r="X134" s="1437"/>
      <c r="Y134" s="1437"/>
      <c r="Z134" s="1437"/>
      <c r="AA134" s="227"/>
      <c r="AB134" s="660" t="str">
        <f>AB133&amp;".1"</f>
        <v>18.1</v>
      </c>
      <c r="AC134" s="161" t="s">
        <v>1746</v>
      </c>
      <c r="AD134" s="517" t="s">
        <v>1747</v>
      </c>
      <c r="AE134" s="99"/>
      <c r="AF134" s="374"/>
      <c r="AG134" s="374"/>
      <c r="AH134" s="374"/>
      <c r="AI134" s="122">
        <f>MIN(AE135,_xlfn.IFERROR(AI118/AI126/12,0))</f>
        <v>0</v>
      </c>
      <c r="AJ134" s="614">
        <f>MIN(AI135,_xlfn.IFERROR(AJ118/AJ126/12,0))</f>
        <v>0</v>
      </c>
      <c r="AK134" s="1979">
        <f>MIN(AJ135,_xlfn.IFERROR(AK118/AK126/12,0))</f>
        <v>0</v>
      </c>
      <c r="AL134" s="1979">
        <f>MIN(AK135,_xlfn.IFERROR(AL118/AL126/12,0))</f>
        <v>0</v>
      </c>
      <c r="AM134" s="122">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979">
        <f>MIN(AT135,_xlfn.IFERROR(AU118/AU126/12,0))</f>
        <v>0</v>
      </c>
      <c r="AV134" s="1979">
        <f>MIN(AU135,_xlfn.IFERROR(AV118/AV126/12,0))</f>
        <v>0</v>
      </c>
      <c r="AW134" s="122">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1748</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M11397::ТЭ.73.28136693.0002::Неопределено::8.0.3.::Неопределено::Неопределено::Неопределено</v>
      </c>
    </row>
    <row s="1642" customFormat="1" customHeight="1" ht="31.5" hidden="1">
      <c r="A135" s="225"/>
      <c r="B135" s="925"/>
      <c r="C135" s="1299" t="s">
        <v>1743</v>
      </c>
      <c r="D135" s="1258" t="s">
        <v>1744</v>
      </c>
      <c r="E135" s="794">
        <v>33</v>
      </c>
      <c r="F135" s="920" cm="1" t="str">
        <f t="array" ref="F135:F135">OFFSET(G135,-1,-1)</f>
        <v>1</v>
      </c>
      <c r="G135" s="190" t="s">
        <v>1749</v>
      </c>
      <c r="H135" s="227"/>
      <c r="I135" s="227"/>
      <c r="J135" s="227"/>
      <c r="K135" s="227"/>
      <c r="L135" s="190" t="s">
        <v>1678</v>
      </c>
      <c r="M135" s="1282"/>
      <c r="N135" s="1282" cm="1" t="str">
        <f t="array" ref="N135:N135">OFFSET(M135,-1,1)</f>
        <v>ТЭ.73.28136693.0002</v>
      </c>
      <c r="O135" s="1283" t="s">
        <v>1701</v>
      </c>
      <c r="P135" s="1283"/>
      <c r="Q135" s="1283"/>
      <c r="R135" s="1283"/>
      <c r="S135" s="1642"/>
      <c r="T135" s="805" cm="1" t="str">
        <f t="array" ref="T135:T135">T134</f>
        <v>false</v>
      </c>
      <c r="U135" s="1437"/>
      <c r="V135" s="1437"/>
      <c r="W135" s="1437"/>
      <c r="X135" s="1437"/>
      <c r="Y135" s="1437"/>
      <c r="Z135" s="1437"/>
      <c r="AA135" s="227"/>
      <c r="AB135" s="660" t="str">
        <f>AB133&amp;".2"</f>
        <v>18.2</v>
      </c>
      <c r="AC135" s="161" t="s">
        <v>1750</v>
      </c>
      <c r="AD135" s="517" t="s">
        <v>1747</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1751</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M11397::ТЭ.73.28136693.0002::Неопределено::8.0.5.::Неопределено::Неопределено::Неопределено</v>
      </c>
    </row>
    <row s="1642" customFormat="1" customHeight="1" ht="14.25" hidden="1">
      <c r="A136" s="225"/>
      <c r="B136" s="925"/>
      <c r="C136" s="1299" t="s">
        <v>1736</v>
      </c>
      <c r="D136" s="1258" t="s">
        <v>1737</v>
      </c>
      <c r="E136" s="794">
        <v>15</v>
      </c>
      <c r="F136" s="920" cm="1" t="str">
        <f t="array" ref="F136:F136">OFFSET(G136,-1,-1)</f>
        <v>1</v>
      </c>
      <c r="G136" s="227"/>
      <c r="H136" s="227"/>
      <c r="I136" s="227"/>
      <c r="J136" s="227"/>
      <c r="K136" s="227"/>
      <c r="L136" s="190" t="s">
        <v>1678</v>
      </c>
      <c r="M136" s="1282"/>
      <c r="N136" s="1282" cm="1" t="str">
        <f t="array" ref="N136:N136">OFFSET(M136,-1,1)</f>
        <v>ТЭ.73.28136693.0002</v>
      </c>
      <c r="O136" s="1283"/>
      <c r="P136" s="1283"/>
      <c r="Q136" s="1283" t="s">
        <v>1752</v>
      </c>
      <c r="R136" s="1283"/>
      <c r="S136" s="1642"/>
      <c r="T136" s="805" cm="1" t="str">
        <f t="array" ref="T136:T136">T135</f>
        <v>false</v>
      </c>
      <c r="U136" s="1437"/>
      <c r="V136" s="1437"/>
      <c r="W136" s="1437"/>
      <c r="X136" s="1437"/>
      <c r="Y136" s="1437"/>
      <c r="Z136" s="1437"/>
      <c r="AA136" s="227"/>
      <c r="AB136" s="660" t="str">
        <f>AB133&amp;".3"</f>
        <v>18.3</v>
      </c>
      <c r="AC136" s="312" t="s">
        <v>1753</v>
      </c>
      <c r="AD136" s="717" t="s">
        <v>485</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1754</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M10444::ТЭ.73.28136693.0002::Неопределено::Неопределено::Неопределено::225.0.1.::Неопределено</v>
      </c>
    </row>
    <row s="1642" customFormat="1" customHeight="1" ht="29.25">
      <c r="A137" s="225"/>
      <c r="B137" s="925"/>
      <c r="C137" s="1299" t="s">
        <v>1755</v>
      </c>
      <c r="D137" s="1258" t="s">
        <v>1756</v>
      </c>
      <c r="E137" s="794">
        <v>30</v>
      </c>
      <c r="F137" s="920" cm="1" t="str">
        <f t="array" ref="F137:F137">OFFSET(G137,-1,-1)</f>
        <v>1</v>
      </c>
      <c r="G137" s="227"/>
      <c r="H137" s="227"/>
      <c r="I137" s="227"/>
      <c r="J137" s="227"/>
      <c r="K137" s="227"/>
      <c r="L137" s="190"/>
      <c r="M137" s="1282"/>
      <c r="N137" s="1282" cm="1" t="str">
        <f t="array" ref="N137:N137">OFFSET(M137,-1,1)</f>
        <v>ТЭ.73.28136693.0002</v>
      </c>
      <c r="O137" s="1283"/>
      <c r="P137" s="1283"/>
      <c r="Q137" s="1283"/>
      <c r="R137" s="1283"/>
      <c r="S137" s="1642"/>
      <c r="T137" s="805" cm="1" t="str">
        <f t="array" ref="T137:T137">T116</f>
        <v>true</v>
      </c>
      <c r="U137" s="1437"/>
      <c r="V137" s="1437"/>
      <c r="W137" s="1437"/>
      <c r="X137" s="1437"/>
      <c r="Y137" s="1437"/>
      <c r="Z137" s="1437"/>
      <c r="AA137" s="227"/>
      <c r="AB137" s="285" t="s">
        <v>1757</v>
      </c>
      <c r="AC137" s="1060" t="s">
        <v>1758</v>
      </c>
      <c r="AD137" s="577" t="s">
        <v>986</v>
      </c>
      <c r="AE137" s="1860"/>
      <c r="AF137" s="1860"/>
      <c r="AG137" s="2022"/>
      <c r="AH137" s="307">
        <f>AG137-AF137</f>
        <v>0</v>
      </c>
      <c r="AI137" s="2023"/>
      <c r="AJ137" s="1061"/>
      <c r="AK137" s="2011"/>
      <c r="AL137" s="2011"/>
      <c r="AM137" s="2023"/>
      <c r="AN137" s="2023"/>
      <c r="AO137" s="2023"/>
      <c r="AP137" s="2023"/>
      <c r="AQ137" s="2023"/>
      <c r="AR137" s="2023"/>
      <c r="AS137" s="2023"/>
      <c r="AT137" s="1061"/>
      <c r="AU137" s="2011"/>
      <c r="AV137" s="2011"/>
      <c r="AW137" s="2023"/>
      <c r="AX137" s="2023"/>
      <c r="AY137" s="2023"/>
      <c r="AZ137" s="2023"/>
      <c r="BA137" s="2023"/>
      <c r="BB137" s="2023"/>
      <c r="BC137" s="2023"/>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92"/>
      <c r="BO137" s="1792"/>
      <c r="BP137" s="1792"/>
      <c r="BQ137" s="227"/>
      <c r="BR137" s="227"/>
      <c r="BS137" s="1233" t="s">
        <v>1759</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M10591::ТЭ.73.28136693.0002::Неопределено::Неопределено::Неопределено::Неопределено::Неопределено</v>
      </c>
    </row>
    <row customHeight="1" ht="9.945">
      <c r="E138" s="794">
        <v>10.2</v>
      </c>
      <c r="U138" s="176" t="s">
        <v>237</v>
      </c>
      <c r="V138" s="168" t="s">
        <v>1761</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7" t="s">
        <v>694</v>
      </c>
      <c r="AC140" s="1507"/>
      <c r="AD140" s="1507"/>
      <c r="AE140" s="1507"/>
      <c r="AF140" s="1507"/>
      <c r="AG140" s="1507"/>
      <c r="AH140" s="1507"/>
      <c r="AI140" s="1507"/>
      <c r="AJ140" s="1507"/>
      <c r="AK140" s="1507"/>
      <c r="AL140" s="1507"/>
      <c r="AM140" s="1507"/>
      <c r="AN140" s="1507"/>
      <c r="AO140" s="1507"/>
      <c r="AP140" s="1507"/>
      <c r="AQ140" s="1507"/>
      <c r="AR140" s="1507"/>
      <c r="AS140" s="1507"/>
      <c r="AT140" s="1507"/>
      <c r="AU140" s="1507"/>
      <c r="AV140" s="1507"/>
      <c r="AW140" s="1507"/>
      <c r="AX140" s="1507"/>
      <c r="AY140" s="1507"/>
      <c r="AZ140" s="1507"/>
      <c r="BA140" s="1507"/>
      <c r="BB140" s="1507"/>
      <c r="BC140" s="1507"/>
      <c r="BD140" s="1507"/>
      <c r="BE140" s="1507"/>
      <c r="BF140" s="1507"/>
      <c r="BG140" s="1507"/>
      <c r="BH140" s="1507"/>
      <c r="BI140" s="1507"/>
      <c r="BJ140" s="1507"/>
      <c r="BK140" s="1507"/>
      <c r="BL140" s="1507"/>
      <c r="BM140" s="1507"/>
      <c r="BN140" s="1507"/>
      <c r="BO140" s="1507"/>
      <c r="BP140" s="1507"/>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799"/>
      <c r="T142" s="805">
        <f>ROW(W142)&gt;ROW(W$142)</f>
        <v>0</v>
      </c>
      <c r="U142" s="1437"/>
      <c r="V142" s="1437"/>
      <c r="W142" s="172" t="s">
        <v>235</v>
      </c>
      <c r="X142" s="1437"/>
      <c r="Y142" s="1437"/>
      <c r="Z142" s="1437"/>
      <c r="AA142" s="915" t="s">
        <v>219</v>
      </c>
      <c r="AB142" s="1938"/>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236</v>
      </c>
      <c r="AA143" s="210"/>
      <c r="AB143" s="1453" t="s">
        <v>695</v>
      </c>
      <c r="AC143" s="1454"/>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7AC75-0AF8-A5AF-5E49-F7B8E25F24D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1762</v>
      </c>
      <c r="M1" s="1277" t="s">
        <v>1534</v>
      </c>
      <c r="N1" s="1277" t="s">
        <v>1763</v>
      </c>
      <c r="O1" s="1277" t="s">
        <v>1764</v>
      </c>
      <c r="P1" s="1277" t="s">
        <v>1765</v>
      </c>
      <c r="Q1" s="1277" t="s">
        <v>1766</v>
      </c>
      <c r="R1" s="1277" t="s">
        <v>1537</v>
      </c>
      <c r="S1" s="1267" t="s">
        <v>1535</v>
      </c>
      <c r="T1" s="805" t="s">
        <v>86</v>
      </c>
      <c r="U1" s="805" t="s">
        <v>91</v>
      </c>
      <c r="V1" s="805" t="s">
        <v>87</v>
      </c>
      <c r="W1" s="805" t="s">
        <v>88</v>
      </c>
      <c r="X1" s="805" t="s">
        <v>89</v>
      </c>
      <c r="Y1" s="816" t="s">
        <v>371</v>
      </c>
      <c r="Z1" s="805" t="s">
        <v>93</v>
      </c>
      <c r="AA1" s="816" t="s">
        <v>90</v>
      </c>
      <c r="AB1" s="816" t="s">
        <v>92</v>
      </c>
      <c r="AJ1" s="225"/>
      <c r="AK1" s="225"/>
      <c r="AL1" s="225"/>
      <c r="AR1" s="1231" t="s">
        <v>372</v>
      </c>
      <c r="AS1" s="1277" t="s">
        <v>1538</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424</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425</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426</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1539</v>
      </c>
      <c r="AF12" s="1267" t="s">
        <v>1539</v>
      </c>
      <c r="AG12" s="1267" t="s">
        <v>1539</v>
      </c>
      <c r="AH12" s="1267" t="s">
        <v>1539</v>
      </c>
      <c r="AI12" s="1267" t="s">
        <v>1539</v>
      </c>
      <c r="AJ12" s="1267" t="s">
        <v>1539</v>
      </c>
      <c r="AK12" s="1267" t="s">
        <v>1539</v>
      </c>
      <c r="AL12" s="1267" t="s">
        <v>1539</v>
      </c>
    </row>
    <row s="1268" customFormat="1" customHeight="1" ht="12" hidden="1">
      <c r="A13" s="1274" t="s">
        <v>1540</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1541</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1542</v>
      </c>
      <c r="AF14" s="1267" t="s">
        <v>1543</v>
      </c>
      <c r="AG14" s="1267" t="s">
        <v>1542</v>
      </c>
      <c r="AH14" s="1267" t="s">
        <v>1544</v>
      </c>
      <c r="AI14" s="1267" t="s">
        <v>1542</v>
      </c>
      <c r="AJ14" s="1267" t="s">
        <v>1543</v>
      </c>
      <c r="AK14" s="1267" t="s">
        <v>1542</v>
      </c>
      <c r="AL14" s="1267" t="s">
        <v>1544</v>
      </c>
    </row>
    <row s="1268" customFormat="1" customHeight="1" ht="12" hidden="1">
      <c r="A15" s="1274" t="s">
        <v>1545</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1546</v>
      </c>
      <c r="AF15" s="1267" t="s">
        <v>1547</v>
      </c>
      <c r="AG15" s="1267" t="s">
        <v>1547</v>
      </c>
      <c r="AH15" s="1267" t="s">
        <v>1548</v>
      </c>
      <c r="AJ15" s="1271"/>
      <c r="AK15" s="1271"/>
      <c r="AL15" s="1271"/>
    </row>
    <row s="1268" customFormat="1" customHeight="1" ht="12" hidden="1">
      <c r="A16" s="1306" t="s">
        <v>1549</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1550</v>
      </c>
      <c r="AN16" s="1267" t="s">
        <v>1551</v>
      </c>
      <c r="AO16" s="1267" t="s">
        <v>1552</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5" t="s">
        <v>385</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1255</v>
      </c>
      <c r="AN24" s="1524" t="s">
        <v>582</v>
      </c>
      <c r="AO24" s="1524" t="s">
        <v>1256</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5"/>
      <c r="AC25" s="1525"/>
      <c r="AD25" s="1525"/>
      <c r="AE25" s="166" t="s">
        <v>401</v>
      </c>
      <c r="AF25" s="1356" t="s">
        <v>583</v>
      </c>
      <c r="AG25" s="166" t="s">
        <v>584</v>
      </c>
      <c r="AH25" s="258" t="s">
        <v>1257</v>
      </c>
      <c r="AI25" s="166" t="s">
        <v>401</v>
      </c>
      <c r="AJ25" s="1355" t="s">
        <v>402</v>
      </c>
      <c r="AK25" s="410" t="s">
        <v>401</v>
      </c>
      <c r="AL25" s="258" t="s">
        <v>1258</v>
      </c>
      <c r="AM25" s="1524"/>
      <c r="AN25" s="1524"/>
      <c r="AO25" s="1524"/>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1767</v>
      </c>
      <c r="D28" s="1258" t="s">
        <v>1768</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1769</v>
      </c>
      <c r="AD28" s="989" t="s">
        <v>986</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1770</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1767</v>
      </c>
      <c r="D29" s="1258" t="s">
        <v>1768</v>
      </c>
      <c r="E29" s="794">
        <v>17.1</v>
      </c>
      <c r="F29" s="920" cm="1" t="str">
        <f t="array" ref="F29:F29">OFFSET(G29,-1,-1)</f>
        <v>0</v>
      </c>
      <c r="L29" s="1287" t="s">
        <v>1771</v>
      </c>
      <c r="M29" s="1285" cm="1" t="str">
        <f t="array" ref="M29:M29">OFFSET(L29,-1,1)</f>
        <v>0</v>
      </c>
      <c r="N29" s="1287"/>
      <c r="O29" s="1287"/>
      <c r="P29" s="1287"/>
      <c r="Q29" s="1287"/>
      <c r="R29" s="1287"/>
      <c r="S29" s="1287"/>
      <c r="T29" s="805" cm="1" t="str">
        <f t="array" ref="T29:T29">T28</f>
        <v>false</v>
      </c>
      <c r="AB29" s="990" t="s">
        <v>436</v>
      </c>
      <c r="AC29" s="991" t="s">
        <v>1772</v>
      </c>
      <c r="AD29" s="992" t="s">
        <v>986</v>
      </c>
      <c r="AE29" s="122"/>
      <c r="AF29" s="122"/>
      <c r="AG29" s="122"/>
      <c r="AH29" s="307">
        <f>AG29-AF29</f>
        <v>0</v>
      </c>
      <c r="AI29" s="122"/>
      <c r="AJ29" s="614"/>
      <c r="AK29" s="614"/>
      <c r="AL29" s="307">
        <f>IF(AI29=0,0,(AK29-AI29)/AI29*100)</f>
        <v>0</v>
      </c>
      <c r="AM29" s="74"/>
      <c r="AN29" s="74"/>
      <c r="AO29" s="74"/>
      <c r="AR29" s="1231" t="s">
        <v>1263</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1767</v>
      </c>
      <c r="D30" s="1258" t="s">
        <v>1768</v>
      </c>
      <c r="E30" s="794">
        <v>26.3</v>
      </c>
      <c r="F30" s="920" cm="1" t="str">
        <f t="array" ref="F30:F30">OFFSET(G30,-1,-1)</f>
        <v>0</v>
      </c>
      <c r="G30" s="190" t="s">
        <v>1353</v>
      </c>
      <c r="L30" s="1287" t="s">
        <v>1773</v>
      </c>
      <c r="M30" s="1285" cm="1" t="str">
        <f t="array" ref="M30:M30">OFFSET(L30,-1,1)</f>
        <v>0</v>
      </c>
      <c r="N30" s="1287"/>
      <c r="O30" s="1287"/>
      <c r="P30" s="1287"/>
      <c r="Q30" s="1287"/>
      <c r="R30" s="1287"/>
      <c r="S30" s="1287"/>
      <c r="T30" s="805" cm="1" t="str">
        <f t="array" ref="T30:T30">T29</f>
        <v>false</v>
      </c>
      <c r="AB30" s="990" t="s">
        <v>899</v>
      </c>
      <c r="AC30" s="991" t="s">
        <v>1354</v>
      </c>
      <c r="AD30" s="992" t="s">
        <v>986</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1348</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1767</v>
      </c>
      <c r="D31" s="1258" t="s">
        <v>1768</v>
      </c>
      <c r="E31" s="794">
        <v>17.1</v>
      </c>
      <c r="F31" s="920" cm="1" t="str">
        <f t="array" ref="F31:F31">OFFSET(G31,-1,-1)</f>
        <v>0</v>
      </c>
      <c r="L31" s="1287" t="s">
        <v>1774</v>
      </c>
      <c r="M31" s="1285" cm="1" t="str">
        <f t="array" ref="M31:M31">OFFSET(L31,-1,1)</f>
        <v>0</v>
      </c>
      <c r="N31" s="1287"/>
      <c r="O31" s="1287"/>
      <c r="P31" s="1287"/>
      <c r="Q31" s="1287"/>
      <c r="R31" s="1287"/>
      <c r="S31" s="1287"/>
      <c r="T31" s="805" cm="1" t="str">
        <f t="array" ref="T31:T31">T30</f>
        <v>false</v>
      </c>
      <c r="AB31" s="990" t="s">
        <v>901</v>
      </c>
      <c r="AC31" s="991" t="s">
        <v>39</v>
      </c>
      <c r="AD31" s="992" t="s">
        <v>986</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1775</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1767</v>
      </c>
      <c r="D32" s="1258" t="s">
        <v>1768</v>
      </c>
      <c r="E32" s="794">
        <v>17.1</v>
      </c>
      <c r="F32" s="920" cm="1" t="str">
        <f t="array" ref="F32:F32">OFFSET(G32,-1,-1)</f>
        <v>0</v>
      </c>
      <c r="G32" s="190" t="s">
        <v>893</v>
      </c>
      <c r="L32" s="1287" t="s">
        <v>1776</v>
      </c>
      <c r="M32" s="1285" cm="1" t="str">
        <f t="array" ref="M32:M32">OFFSET(L32,-1,1)</f>
        <v>0</v>
      </c>
      <c r="N32" s="1287"/>
      <c r="O32" s="1287"/>
      <c r="P32" s="1287"/>
      <c r="Q32" s="1287"/>
      <c r="R32" s="1287"/>
      <c r="S32" s="1287"/>
      <c r="T32" s="805" cm="1" t="str">
        <f t="array" ref="T32:T32">T31</f>
        <v>false</v>
      </c>
      <c r="AB32" s="990" t="s">
        <v>1132</v>
      </c>
      <c r="AC32" s="682" t="s">
        <v>1777</v>
      </c>
      <c r="AD32" s="992" t="s">
        <v>986</v>
      </c>
      <c r="AE32" s="307">
        <f>_xlfn.SUMIFS(ЭнергоРесурсы!AE$26:AE$113,ЭнергоРесурсы!$F$26:$F$113,$F32,ЭнергоРесурсы!$G$26:$G$113,$G32)</f>
        <v>0</v>
      </c>
      <c r="AF32" s="307">
        <f>_xlfn.SUMIFS(ЭнергоРесурсы!AF$26:AF$113,ЭнергоРесурсы!$F$26:$F$113,$F32,ЭнергоРесурсы!$G$26:$G$113,$G32)</f>
        <v>0</v>
      </c>
      <c r="AG32" s="307">
        <f>_xlfn.SUMIFS(ЭнергоРесурсы!AG$26:AG$113,ЭнергоРесурсы!$F$26:$F$113,$F32,ЭнергоРесурсы!$G$26:$G$113,$G32)</f>
        <v>0</v>
      </c>
      <c r="AH32" s="307">
        <f>AG32-AF32</f>
        <v>0</v>
      </c>
      <c r="AI32" s="307">
        <f>_xlfn.SUMIFS(ЭнергоРесурсы!AH$26:AH$113,ЭнергоРесурсы!$F$26:$F$113,$F32,ЭнергоРесурсы!$G$26:$G$113,$G32)</f>
        <v>0</v>
      </c>
      <c r="AJ32" s="307">
        <f>_xlfn.SUMIFS(ЭнергоРесурсы!AI$26:AI$113,ЭнергоРесурсы!$F$26:$F$113,$F32,ЭнергоРесурсы!$G$26:$G$113,$G32)</f>
        <v>0</v>
      </c>
      <c r="AK32" s="307">
        <f>_xlfn.SUMIFS(ЭнергоРесурсы!AS$26:AS$113,ЭнергоРесурсы!$F$26:$F$113,$F32,ЭнергоРесурсы!$G$26:$G$113,$G32)</f>
        <v>0</v>
      </c>
      <c r="AL32" s="307">
        <f>IF(AI32=0,0,(AK32-AI32)/AI32*100)</f>
        <v>0</v>
      </c>
      <c r="AM32" s="74"/>
      <c r="AN32" s="74"/>
      <c r="AO32" s="74"/>
      <c r="AR32" s="1231" t="s">
        <v>1778</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1767</v>
      </c>
      <c r="D33" s="1258" t="s">
        <v>1768</v>
      </c>
      <c r="E33" s="794">
        <v>17.1</v>
      </c>
      <c r="F33" s="920" cm="1" t="str">
        <f t="array" ref="F33:F33">OFFSET(G33,-1,-1)</f>
        <v>0</v>
      </c>
      <c r="G33" s="190" t="s">
        <v>928</v>
      </c>
      <c r="L33" s="1287" t="s">
        <v>1779</v>
      </c>
      <c r="M33" s="1285" cm="1" t="str">
        <f t="array" ref="M33:M33">OFFSET(L33,-1,1)</f>
        <v>0</v>
      </c>
      <c r="N33" s="1287"/>
      <c r="O33" s="1287"/>
      <c r="P33" s="1287"/>
      <c r="Q33" s="1287"/>
      <c r="R33" s="1287"/>
      <c r="S33" s="1287"/>
      <c r="T33" s="805" cm="1" t="str">
        <f t="array" ref="T33:T33">T32</f>
        <v>false</v>
      </c>
      <c r="AB33" s="990" t="s">
        <v>1136</v>
      </c>
      <c r="AC33" s="682" t="s">
        <v>1780</v>
      </c>
      <c r="AD33" s="992" t="s">
        <v>986</v>
      </c>
      <c r="AE33" s="307">
        <f>_xlfn.SUMIFS(ЭнергоРесурсы!AE$26:AE$113,ЭнергоРесурсы!$F$26:$F$113,$F33,ЭнергоРесурсы!$G$26:$G$113,$G33)</f>
        <v>0</v>
      </c>
      <c r="AF33" s="307">
        <f>_xlfn.SUMIFS(ЭнергоРесурсы!AF$26:AF$113,ЭнергоРесурсы!$F$26:$F$113,$F33,ЭнергоРесурсы!$G$26:$G$113,$G33)</f>
        <v>0</v>
      </c>
      <c r="AG33" s="307">
        <f>_xlfn.SUMIFS(ЭнергоРесурсы!AG$26:AG$113,ЭнергоРесурсы!$F$26:$F$113,$F33,ЭнергоРесурсы!$G$26:$G$113,$G33)</f>
        <v>0</v>
      </c>
      <c r="AH33" s="307">
        <f>AG33-AF33</f>
        <v>0</v>
      </c>
      <c r="AI33" s="307">
        <f>_xlfn.SUMIFS(ЭнергоРесурсы!AH$26:AH$113,ЭнергоРесурсы!$F$26:$F$113,$F33,ЭнергоРесурсы!$G$26:$G$113,$G33)</f>
        <v>0</v>
      </c>
      <c r="AJ33" s="307">
        <f>_xlfn.SUMIFS(ЭнергоРесурсы!AI$26:AI$113,ЭнергоРесурсы!$F$26:$F$113,$F33,ЭнергоРесурсы!$G$26:$G$113,$G33)</f>
        <v>0</v>
      </c>
      <c r="AK33" s="307">
        <f>_xlfn.SUMIFS(ЭнергоРесурсы!AS$26:AS$113,ЭнергоРесурсы!$F$26:$F$113,$F33,ЭнергоРесурсы!$G$26:$G$113,$G33)</f>
        <v>0</v>
      </c>
      <c r="AL33" s="307">
        <f>IF(AI33=0,0,(AK33-AI33)/AI33*100)</f>
        <v>0</v>
      </c>
      <c r="AM33" s="74"/>
      <c r="AN33" s="74"/>
      <c r="AO33" s="74"/>
      <c r="AR33" s="1231" t="s">
        <v>1781</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1767</v>
      </c>
      <c r="D34" s="1258" t="s">
        <v>1768</v>
      </c>
      <c r="E34" s="794">
        <v>17.1</v>
      </c>
      <c r="F34" s="920" cm="1" t="str">
        <f t="array" ref="F34:F34">OFFSET(G34,-1,-1)</f>
        <v>0</v>
      </c>
      <c r="G34" s="190" t="s">
        <v>960</v>
      </c>
      <c r="L34" s="1287" t="s">
        <v>1782</v>
      </c>
      <c r="M34" s="1285" cm="1" t="str">
        <f t="array" ref="M34:M34">OFFSET(L34,-1,1)</f>
        <v>0</v>
      </c>
      <c r="N34" s="1287"/>
      <c r="O34" s="1287"/>
      <c r="P34" s="1287"/>
      <c r="Q34" s="1287"/>
      <c r="R34" s="1287"/>
      <c r="S34" s="1287"/>
      <c r="T34" s="805" cm="1" t="str">
        <f t="array" ref="T34:T34">T33</f>
        <v>false</v>
      </c>
      <c r="AB34" s="990" t="s">
        <v>905</v>
      </c>
      <c r="AC34" s="991" t="s">
        <v>961</v>
      </c>
      <c r="AD34" s="992" t="s">
        <v>986</v>
      </c>
      <c r="AE34" s="547">
        <f>_xlfn.SUMIFS('ХВС, ТН'!AE$26:AE$53,'ХВС, ТН'!$F$26:$F$53,$F34,'ХВС, ТН'!$G$26:$G$53,$G34)</f>
        <v>0</v>
      </c>
      <c r="AF34" s="547">
        <f>_xlfn.SUMIFS('ХВС, ТН'!AF$26:AF$53,'ХВС, ТН'!$F$26:$F$53,$F34,'ХВС, ТН'!$G$26:$G$53,$G34)</f>
        <v>0</v>
      </c>
      <c r="AG34" s="547">
        <f>_xlfn.SUMIFS('ХВС, ТН'!AG$26:AG$53,'ХВС, ТН'!$F$26:$F$53,$F34,'ХВС, ТН'!$G$26:$G$53,$G34)</f>
        <v>0</v>
      </c>
      <c r="AH34" s="307">
        <f>AG34-AF34</f>
        <v>0</v>
      </c>
      <c r="AI34" s="547">
        <f>_xlfn.SUMIFS('ХВС, ТН'!AH$26:AH$53,'ХВС, ТН'!$F$26:$F$53,$F34,'ХВС, ТН'!$G$26:$G$53,$G34)</f>
        <v>0</v>
      </c>
      <c r="AJ34" s="547">
        <f>_xlfn.SUMIFS('ХВС, ТН'!AI$26:AI$53,'ХВС, ТН'!$F$26:$F$53,$F34,'ХВС, ТН'!$G$26:$G$53,$G34)</f>
        <v>0</v>
      </c>
      <c r="AK34" s="547">
        <f>_xlfn.SUMIFS('ХВС, ТН'!AS$26:AS$53,'ХВС, ТН'!$F$26:$F$53,$F34,'ХВС, ТН'!$G$26:$G$53,$G34)</f>
        <v>0</v>
      </c>
      <c r="AL34" s="307">
        <f>IF(AI34=0,0,(AK34-AI34)/AI34*100)</f>
        <v>0</v>
      </c>
      <c r="AM34" s="74"/>
      <c r="AN34" s="74"/>
      <c r="AO34" s="74"/>
      <c r="AR34" s="1231" t="s">
        <v>1358</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1767</v>
      </c>
      <c r="D35" s="1258" t="s">
        <v>1768</v>
      </c>
      <c r="E35" s="794">
        <v>17.1</v>
      </c>
      <c r="F35" s="920" cm="1" t="str">
        <f t="array" ref="F35:F35">OFFSET(G35,-1,-1)</f>
        <v>0</v>
      </c>
      <c r="G35" s="190" t="s">
        <v>971</v>
      </c>
      <c r="L35" s="1287" t="s">
        <v>1783</v>
      </c>
      <c r="M35" s="1285" cm="1" t="str">
        <f t="array" ref="M35:M35">OFFSET(L35,-1,1)</f>
        <v>0</v>
      </c>
      <c r="N35" s="1287"/>
      <c r="O35" s="1287"/>
      <c r="P35" s="1287"/>
      <c r="Q35" s="1287"/>
      <c r="R35" s="1287"/>
      <c r="S35" s="1287"/>
      <c r="T35" s="805" cm="1" t="str">
        <f t="array" ref="T35:T35">T34</f>
        <v>false</v>
      </c>
      <c r="AB35" s="990" t="s">
        <v>1009</v>
      </c>
      <c r="AC35" s="991" t="s">
        <v>972</v>
      </c>
      <c r="AD35" s="992" t="s">
        <v>986</v>
      </c>
      <c r="AE35" s="547">
        <f>_xlfn.SUMIFS('ХВС, ТН'!AE$26:AE$53,'ХВС, ТН'!$F$26:$F$53,$F35,'ХВС, ТН'!$G$26:$G$53,$G35)</f>
        <v>0</v>
      </c>
      <c r="AF35" s="547">
        <f>_xlfn.SUMIFS('ХВС, ТН'!AF$26:AF$53,'ХВС, ТН'!$F$26:$F$53,$F35,'ХВС, ТН'!$G$26:$G$53,$G35)</f>
        <v>0</v>
      </c>
      <c r="AG35" s="547">
        <f>_xlfn.SUMIFS('ХВС, ТН'!AG$26:AG$53,'ХВС, ТН'!$F$26:$F$53,$F35,'ХВС, ТН'!$G$26:$G$53,$G35)</f>
        <v>0</v>
      </c>
      <c r="AH35" s="307">
        <f>AG35-AF35</f>
        <v>0</v>
      </c>
      <c r="AI35" s="547">
        <f>_xlfn.SUMIFS('ХВС, ТН'!AH$26:AH$53,'ХВС, ТН'!$F$26:$F$53,$F35,'ХВС, ТН'!$G$26:$G$53,$G35)</f>
        <v>0</v>
      </c>
      <c r="AJ35" s="547">
        <f>_xlfn.SUMIFS('ХВС, ТН'!AI$26:AI$53,'ХВС, ТН'!$F$26:$F$53,$F35,'ХВС, ТН'!$G$26:$G$53,$G35)</f>
        <v>0</v>
      </c>
      <c r="AK35" s="547">
        <f>_xlfn.SUMIFS('ХВС, ТН'!AS$26:AS$53,'ХВС, ТН'!$F$26:$F$53,$F35,'ХВС, ТН'!$G$26:$G$53,$G35)</f>
        <v>0</v>
      </c>
      <c r="AL35" s="307">
        <f>IF(AI35=0,0,(AK35-AI35)/AI35*100)</f>
        <v>0</v>
      </c>
      <c r="AM35" s="74"/>
      <c r="AN35" s="74"/>
      <c r="AO35" s="74"/>
      <c r="AR35" s="1231" t="s">
        <v>1359</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1767</v>
      </c>
      <c r="D36" s="1258" t="s">
        <v>1768</v>
      </c>
      <c r="E36" s="794">
        <v>17.1</v>
      </c>
      <c r="F36" s="920" cm="1" t="str">
        <f t="array" ref="F36:F36">OFFSET(G36,-1,-1)</f>
        <v>0</v>
      </c>
      <c r="G36" s="190" t="s">
        <v>1096</v>
      </c>
      <c r="L36" s="1287" t="s">
        <v>1784</v>
      </c>
      <c r="M36" s="1285" cm="1" t="str">
        <f t="array" ref="M36:M36">OFFSET(L36,-1,1)</f>
        <v>0</v>
      </c>
      <c r="N36" s="1287"/>
      <c r="O36" s="1287"/>
      <c r="P36" s="1287"/>
      <c r="Q36" s="1287"/>
      <c r="R36" s="1287"/>
      <c r="S36" s="1287"/>
      <c r="T36" s="805" cm="1" t="str">
        <f t="array" ref="T36:T36">T35</f>
        <v>false</v>
      </c>
      <c r="AB36" s="990" t="s">
        <v>1012</v>
      </c>
      <c r="AC36" s="991" t="s">
        <v>1337</v>
      </c>
      <c r="AD36" s="992" t="s">
        <v>986</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1338</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1767</v>
      </c>
      <c r="D37" s="1258" t="s">
        <v>1768</v>
      </c>
      <c r="E37" s="794">
        <v>17.1</v>
      </c>
      <c r="F37" s="920" cm="1" t="str">
        <f t="array" ref="F37:F37">OFFSET(G37,-1,-1)</f>
        <v>0</v>
      </c>
      <c r="G37" s="190" t="s">
        <v>48</v>
      </c>
      <c r="L37" s="1287" t="s">
        <v>1785</v>
      </c>
      <c r="M37" s="1285" cm="1" t="str">
        <f t="array" ref="M37:M37">OFFSET(L37,-1,1)</f>
        <v>0</v>
      </c>
      <c r="N37" s="1287"/>
      <c r="O37" s="1287"/>
      <c r="P37" s="1287"/>
      <c r="Q37" s="1287"/>
      <c r="R37" s="1287"/>
      <c r="S37" s="1287"/>
      <c r="T37" s="805" cm="1" t="str">
        <f t="array" ref="T37:T37">T36</f>
        <v>false</v>
      </c>
      <c r="AB37" s="990" t="s">
        <v>1015</v>
      </c>
      <c r="AC37" s="991" t="s">
        <v>1786</v>
      </c>
      <c r="AD37" s="992" t="s">
        <v>986</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1266</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1767</v>
      </c>
      <c r="D38" s="1258" t="s">
        <v>1768</v>
      </c>
      <c r="E38" s="794">
        <v>17.1</v>
      </c>
      <c r="F38" s="920" cm="1" t="str">
        <f t="array" ref="F38:F38">OFFSET(G38,-1,-1)</f>
        <v>0</v>
      </c>
      <c r="L38" s="1287" t="s">
        <v>1787</v>
      </c>
      <c r="M38" s="1285" cm="1" t="str">
        <f t="array" ref="M38:M38">OFFSET(L38,-1,1)</f>
        <v>0</v>
      </c>
      <c r="N38" s="1287"/>
      <c r="O38" s="1287"/>
      <c r="P38" s="1287"/>
      <c r="Q38" s="1287"/>
      <c r="R38" s="1287"/>
      <c r="S38" s="1287"/>
      <c r="T38" s="805" cm="1" t="str">
        <f t="array" ref="T38:T38">T37</f>
        <v>false</v>
      </c>
      <c r="AB38" s="990" t="s">
        <v>1018</v>
      </c>
      <c r="AC38" s="991" t="s">
        <v>1330</v>
      </c>
      <c r="AD38" s="992" t="s">
        <v>986</v>
      </c>
      <c r="AE38" s="122"/>
      <c r="AF38" s="122"/>
      <c r="AG38" s="122"/>
      <c r="AH38" s="307">
        <f>AG38-AF38</f>
        <v>0</v>
      </c>
      <c r="AI38" s="122"/>
      <c r="AJ38" s="614"/>
      <c r="AK38" s="614"/>
      <c r="AL38" s="307">
        <f>IF(AI38=0,0,(AK38-AI38)/AI38*100)</f>
        <v>0</v>
      </c>
      <c r="AM38" s="74"/>
      <c r="AN38" s="74"/>
      <c r="AO38" s="74"/>
      <c r="AR38" s="1231" t="s">
        <v>1331</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1788</v>
      </c>
      <c r="D39" s="1258" t="s">
        <v>1789</v>
      </c>
      <c r="E39" s="794">
        <v>17.1</v>
      </c>
      <c r="F39" s="920" cm="1" t="str">
        <f t="array" ref="F39:F39">OFFSET(G39,-1,-1)</f>
        <v>0</v>
      </c>
      <c r="L39" s="1287" t="s">
        <v>1790</v>
      </c>
      <c r="M39" s="1285" cm="1" t="str">
        <f t="array" ref="M39:M39">OFFSET(L39,-1,1)</f>
        <v>0</v>
      </c>
      <c r="N39" s="1287"/>
      <c r="O39" s="1287"/>
      <c r="P39" s="1287"/>
      <c r="Q39" s="1287"/>
      <c r="R39" s="1287"/>
      <c r="S39" s="1287"/>
      <c r="T39" s="805" cm="1" t="str">
        <f t="array" ref="T39:T39">T38</f>
        <v>false</v>
      </c>
      <c r="AB39" s="990" t="s">
        <v>1791</v>
      </c>
      <c r="AC39" s="682" t="s">
        <v>1792</v>
      </c>
      <c r="AD39" s="992" t="s">
        <v>485</v>
      </c>
      <c r="AE39" s="122"/>
      <c r="AF39" s="122"/>
      <c r="AG39" s="122"/>
      <c r="AH39" s="307">
        <f>AG39-AF39</f>
        <v>0</v>
      </c>
      <c r="AI39" s="122"/>
      <c r="AJ39" s="614"/>
      <c r="AK39" s="614"/>
      <c r="AL39" s="307">
        <f>IF(AI39=0,0,(AK39-AI39)/AI39*100)</f>
        <v>0</v>
      </c>
      <c r="AM39" s="74"/>
      <c r="AN39" s="74"/>
      <c r="AO39" s="74"/>
      <c r="AR39" s="1231" t="s">
        <v>1328</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1793</v>
      </c>
      <c r="D40" s="1258" t="s">
        <v>1794</v>
      </c>
      <c r="E40" s="794">
        <v>17.1</v>
      </c>
      <c r="F40" s="920" cm="1" t="str">
        <f t="array" ref="F40:F40">OFFSET(G40,-1,-1)</f>
        <v>0</v>
      </c>
      <c r="L40" s="1287"/>
      <c r="M40" s="1285" cm="1" t="str">
        <f t="array" ref="M40:M40">OFFSET(L40,-1,1)</f>
        <v>0</v>
      </c>
      <c r="N40" s="1287" t="s">
        <v>1795</v>
      </c>
      <c r="O40" s="1287"/>
      <c r="P40" s="1287"/>
      <c r="Q40" s="1287"/>
      <c r="R40" s="1287"/>
      <c r="S40" s="1287"/>
      <c r="T40" s="805" cm="1" t="str">
        <f t="array" ref="T40:T40">T39</f>
        <v>false</v>
      </c>
      <c r="AB40" s="990" t="s">
        <v>1231</v>
      </c>
      <c r="AC40" s="991" t="s">
        <v>1796</v>
      </c>
      <c r="AD40" s="992" t="s">
        <v>986</v>
      </c>
      <c r="AE40" s="122"/>
      <c r="AF40" s="122"/>
      <c r="AG40" s="122"/>
      <c r="AH40" s="307">
        <f>AG40-AF40</f>
        <v>0</v>
      </c>
      <c r="AI40" s="122"/>
      <c r="AJ40" s="614"/>
      <c r="AK40" s="614"/>
      <c r="AL40" s="307">
        <f>IF(AI40=0,0,(AK40-AI40)/AI40*100)</f>
        <v>0</v>
      </c>
      <c r="AM40" s="74"/>
      <c r="AN40" s="74"/>
      <c r="AO40" s="74"/>
      <c r="AR40" s="1231" t="s">
        <v>1797</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1798</v>
      </c>
      <c r="E41" s="794">
        <v>35</v>
      </c>
      <c r="F41" s="920" cm="1" t="str">
        <f t="array" ref="F41:F41">OFFSET(G41,-1,-1)</f>
        <v>0</v>
      </c>
      <c r="G41" s="190" t="s">
        <v>1146</v>
      </c>
      <c r="L41" s="1287"/>
      <c r="M41" s="1285" cm="1" t="str">
        <f t="array" ref="M41:M41">OFFSET(L41,-1,1)</f>
        <v>0</v>
      </c>
      <c r="N41" s="1287" t="s">
        <v>1799</v>
      </c>
      <c r="O41" s="1287"/>
      <c r="P41" s="1287"/>
      <c r="Q41" s="1287"/>
      <c r="R41" s="1287"/>
      <c r="S41" s="1287"/>
      <c r="T41" s="805" cm="1" t="str">
        <f t="array" ref="T41:T41">T40</f>
        <v>false</v>
      </c>
      <c r="AB41" s="990" t="s">
        <v>1800</v>
      </c>
      <c r="AC41" s="991" t="s">
        <v>1801</v>
      </c>
      <c r="AD41" s="992" t="s">
        <v>986</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4"/>
      <c r="AN41" s="74"/>
      <c r="AO41" s="74"/>
      <c r="AR41" s="1231" t="s">
        <v>1802</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1767</v>
      </c>
      <c r="D42" s="1258" t="s">
        <v>1768</v>
      </c>
      <c r="E42" s="794">
        <v>35</v>
      </c>
      <c r="F42" s="920" cm="1" t="str">
        <f t="array" ref="F42:F42">OFFSET(G42,-1,-1)</f>
        <v>0</v>
      </c>
      <c r="L42" s="1287" t="s">
        <v>1803</v>
      </c>
      <c r="M42" s="1285" cm="1" t="str">
        <f t="array" ref="M42:M42">OFFSET(L42,-1,1)</f>
        <v>0</v>
      </c>
      <c r="N42" s="1287"/>
      <c r="O42" s="1287"/>
      <c r="P42" s="1287"/>
      <c r="Q42" s="1287"/>
      <c r="R42" s="1287"/>
      <c r="S42" s="1287"/>
      <c r="T42" s="805" cm="1" t="str">
        <f t="array" ref="T42:T42">T41</f>
        <v>false</v>
      </c>
      <c r="AB42" s="990" t="s">
        <v>1804</v>
      </c>
      <c r="AC42" s="991" t="s">
        <v>1805</v>
      </c>
      <c r="AD42" s="992" t="s">
        <v>986</v>
      </c>
      <c r="AE42" s="122"/>
      <c r="AF42" s="122"/>
      <c r="AG42" s="122"/>
      <c r="AH42" s="307">
        <f>AG42-AF42</f>
        <v>0</v>
      </c>
      <c r="AI42" s="122"/>
      <c r="AJ42" s="614"/>
      <c r="AK42" s="614"/>
      <c r="AL42" s="307">
        <f>IF(AI42=0,0,(AK42-AI42)/AI42*100)</f>
        <v>0</v>
      </c>
      <c r="AM42" s="74"/>
      <c r="AN42" s="74"/>
      <c r="AO42" s="74"/>
      <c r="AR42" s="1231" t="s">
        <v>1806</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1767</v>
      </c>
      <c r="D43" s="1258" t="s">
        <v>1768</v>
      </c>
      <c r="E43" s="794">
        <v>55</v>
      </c>
      <c r="F43" s="920" cm="1" t="str">
        <f t="array" ref="F43:F43">OFFSET(G43,-1,-1)</f>
        <v>0</v>
      </c>
      <c r="L43" s="1287" t="s">
        <v>1807</v>
      </c>
      <c r="M43" s="1285" cm="1" t="str">
        <f t="array" ref="M43:M43">OFFSET(L43,-1,1)</f>
        <v>0</v>
      </c>
      <c r="N43" s="1287"/>
      <c r="O43" s="1287"/>
      <c r="P43" s="1287"/>
      <c r="Q43" s="1287"/>
      <c r="R43" s="1287"/>
      <c r="S43" s="1287"/>
      <c r="T43" s="805" cm="1" t="str">
        <f t="array" ref="T43:T43">T42</f>
        <v>false</v>
      </c>
      <c r="AB43" s="990" t="s">
        <v>1808</v>
      </c>
      <c r="AC43" s="991" t="s">
        <v>1809</v>
      </c>
      <c r="AD43" s="992" t="s">
        <v>986</v>
      </c>
      <c r="AE43" s="122"/>
      <c r="AF43" s="122"/>
      <c r="AG43" s="122"/>
      <c r="AH43" s="307">
        <f>AG43-AF43</f>
        <v>0</v>
      </c>
      <c r="AI43" s="122"/>
      <c r="AJ43" s="614"/>
      <c r="AK43" s="614"/>
      <c r="AL43" s="307">
        <f>IF(AI43=0,0,(AK43-AI43)/AI43*100)</f>
        <v>0</v>
      </c>
      <c r="AM43" s="74"/>
      <c r="AN43" s="74"/>
      <c r="AO43" s="74"/>
      <c r="AR43" s="1231" t="s">
        <v>1810</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1767</v>
      </c>
      <c r="D44" s="1258" t="s">
        <v>1768</v>
      </c>
      <c r="E44" s="794">
        <v>40</v>
      </c>
      <c r="F44" s="920" cm="1" t="str">
        <f t="array" ref="F44:F44">OFFSET(G44,-1,-1)</f>
        <v>0</v>
      </c>
      <c r="G44" s="190" t="s">
        <v>1210</v>
      </c>
      <c r="L44" s="1287" t="s">
        <v>1811</v>
      </c>
      <c r="M44" s="1285" cm="1" t="str">
        <f t="array" ref="M44:M44">OFFSET(L44,-1,1)</f>
        <v>0</v>
      </c>
      <c r="N44" s="1287"/>
      <c r="O44" s="1287"/>
      <c r="P44" s="1287"/>
      <c r="Q44" s="1287"/>
      <c r="R44" s="1287"/>
      <c r="S44" s="1287"/>
      <c r="T44" s="805" cm="1" t="str">
        <f t="array" ref="T44:T44">T43</f>
        <v>false</v>
      </c>
      <c r="AB44" s="990" t="s">
        <v>1812</v>
      </c>
      <c r="AC44" s="991" t="s">
        <v>1813</v>
      </c>
      <c r="AD44" s="992" t="s">
        <v>986</v>
      </c>
      <c r="AE44" s="612">
        <f>_xlfn.SUMIFS(Налоги!AE$26:AE$57,Налоги!$F$26:$F$57,$F44,Налоги!$G$26:$G$57,$G44)</f>
        <v>0</v>
      </c>
      <c r="AF44" s="612">
        <f>_xlfn.SUMIFS(Налоги!AF$26:AF$57,Налоги!$F$26:$F$57,$F44,Налоги!$G$26:$G$57,$G44)</f>
        <v>0</v>
      </c>
      <c r="AG44" s="612">
        <f>_xlfn.SUMIFS(Налоги!AG$26:AG$57,Налоги!$F$26:$F$57,$F44,Налоги!$G$26:$G$57,$G44)</f>
        <v>0</v>
      </c>
      <c r="AH44" s="307">
        <f>AG44-AF44</f>
        <v>0</v>
      </c>
      <c r="AI44" s="612">
        <f>_xlfn.SUMIFS(Налоги!AH$26:AH$57,Налоги!$F$26:$F$57,$F44,Налоги!$G$26:$G$57,$G44)</f>
        <v>0</v>
      </c>
      <c r="AJ44" s="612">
        <f>_xlfn.SUMIFS(Налоги!AI$26:AI$57,Налоги!$F$26:$F$57,$F44,Налоги!$G$26:$G$57,$G44)</f>
        <v>0</v>
      </c>
      <c r="AK44" s="612">
        <f>_xlfn.SUMIFS(Налоги!AS$26:AS$57,Налоги!$F$26:$F$57,$F44,Налоги!$G$26:$G$57,$G44)</f>
        <v>0</v>
      </c>
      <c r="AL44" s="307">
        <f>IF(AI44=0,0,(AK44-AI44)/AI44*100)</f>
        <v>0</v>
      </c>
      <c r="AM44" s="74"/>
      <c r="AN44" s="74"/>
      <c r="AO44" s="74"/>
      <c r="AR44" s="1231" t="s">
        <v>1326</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1767</v>
      </c>
      <c r="D45" s="1258" t="s">
        <v>1768</v>
      </c>
      <c r="E45" s="794">
        <v>17.1</v>
      </c>
      <c r="F45" s="920" cm="1" t="str">
        <f t="array" ref="F45:F45">OFFSET(G45,-1,-1)</f>
        <v>0</v>
      </c>
      <c r="G45" s="190" t="s">
        <v>1114</v>
      </c>
      <c r="L45" s="1287"/>
      <c r="M45" s="1285" cm="1" t="str">
        <f t="array" ref="M45:M45">OFFSET(L45,-1,1)</f>
        <v>0</v>
      </c>
      <c r="N45" s="1287" t="s">
        <v>1814</v>
      </c>
      <c r="O45" s="1287"/>
      <c r="P45" s="1287"/>
      <c r="Q45" s="1287"/>
      <c r="R45" s="1287"/>
      <c r="S45" s="1287"/>
      <c r="T45" s="805" cm="1" t="str">
        <f t="array" ref="T45:T45">T44</f>
        <v>false</v>
      </c>
      <c r="AB45" s="990" t="s">
        <v>1815</v>
      </c>
      <c r="AC45" s="991" t="s">
        <v>1816</v>
      </c>
      <c r="AD45" s="992" t="s">
        <v>986</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1817</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1767</v>
      </c>
      <c r="D46" s="1258" t="s">
        <v>1768</v>
      </c>
      <c r="E46" s="794">
        <v>17.1</v>
      </c>
      <c r="F46" s="920" cm="1" t="str">
        <f t="array" ref="F46:F46">OFFSET(G46,-1,-1)</f>
        <v>0</v>
      </c>
      <c r="L46" s="1287"/>
      <c r="M46" s="1285" cm="1" t="str">
        <f t="array" ref="M46:M46">OFFSET(L46,-1,1)</f>
        <v>0</v>
      </c>
      <c r="N46" s="1287"/>
      <c r="O46" s="1287" t="s">
        <v>1818</v>
      </c>
      <c r="P46" s="1287"/>
      <c r="Q46" s="1287"/>
      <c r="R46" s="1287"/>
      <c r="S46" s="1287"/>
      <c r="T46" s="805" cm="1" t="str">
        <f t="array" ref="T46:T46">T45</f>
        <v>false</v>
      </c>
      <c r="AB46" s="990" t="s">
        <v>1819</v>
      </c>
      <c r="AC46" s="991" t="s">
        <v>1285</v>
      </c>
      <c r="AD46" s="992" t="s">
        <v>986</v>
      </c>
      <c r="AE46" s="122"/>
      <c r="AF46" s="122"/>
      <c r="AG46" s="122"/>
      <c r="AH46" s="307">
        <f>AG46-AF46</f>
        <v>0</v>
      </c>
      <c r="AI46" s="122"/>
      <c r="AJ46" s="614"/>
      <c r="AK46" s="614"/>
      <c r="AL46" s="307">
        <f>IF(AI46=0,0,(AK46-AI46)/AI46*100)</f>
        <v>0</v>
      </c>
      <c r="AM46" s="74"/>
      <c r="AN46" s="74"/>
      <c r="AO46" s="74"/>
      <c r="AR46" s="1231" t="s">
        <v>1820</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1767</v>
      </c>
      <c r="D47" s="1258" t="s">
        <v>1768</v>
      </c>
      <c r="E47" s="794">
        <v>17.1</v>
      </c>
      <c r="F47" s="920" cm="1" t="str">
        <f t="array" ref="F47:F47">OFFSET(G47,-1,-1)</f>
        <v>0</v>
      </c>
      <c r="L47" s="1287"/>
      <c r="M47" s="1285" cm="1" t="str">
        <f t="array" ref="M47:M47">OFFSET(L47,-1,1)</f>
        <v>0</v>
      </c>
      <c r="N47" s="1287"/>
      <c r="O47" s="1287" t="s">
        <v>1821</v>
      </c>
      <c r="P47" s="1287"/>
      <c r="Q47" s="1287"/>
      <c r="R47" s="1287"/>
      <c r="S47" s="1287"/>
      <c r="T47" s="805" cm="1" t="str">
        <f t="array" ref="T47:T47">T46</f>
        <v>false</v>
      </c>
      <c r="AB47" s="990" t="s">
        <v>1822</v>
      </c>
      <c r="AC47" s="991" t="s">
        <v>1287</v>
      </c>
      <c r="AD47" s="992" t="s">
        <v>986</v>
      </c>
      <c r="AE47" s="122"/>
      <c r="AF47" s="122"/>
      <c r="AG47" s="122"/>
      <c r="AH47" s="307">
        <f>AG47-AF47</f>
        <v>0</v>
      </c>
      <c r="AI47" s="122"/>
      <c r="AJ47" s="614"/>
      <c r="AK47" s="614"/>
      <c r="AL47" s="307">
        <f>IF(AI47=0,0,(AK47-AI47)/AI47*100)</f>
        <v>0</v>
      </c>
      <c r="AM47" s="74"/>
      <c r="AN47" s="74"/>
      <c r="AO47" s="74"/>
      <c r="AR47" s="1231" t="s">
        <v>1288</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1767</v>
      </c>
      <c r="D48" s="1258" t="s">
        <v>1768</v>
      </c>
      <c r="E48" s="794">
        <v>35</v>
      </c>
      <c r="F48" s="920" cm="1" t="str">
        <f t="array" ref="F48:F48">OFFSET(G48,-1,-1)</f>
        <v>0</v>
      </c>
      <c r="G48" s="190" t="s">
        <v>1217</v>
      </c>
      <c r="L48" s="1287"/>
      <c r="M48" s="1285" cm="1" t="str">
        <f t="array" ref="M48:M48">OFFSET(L48,-1,1)</f>
        <v>0</v>
      </c>
      <c r="N48" s="1287"/>
      <c r="O48" s="1287" t="s">
        <v>1823</v>
      </c>
      <c r="P48" s="1287"/>
      <c r="Q48" s="1287"/>
      <c r="R48" s="1287"/>
      <c r="S48" s="1287"/>
      <c r="T48" s="805" cm="1" t="str">
        <f t="array" ref="T48:T48">T47</f>
        <v>false</v>
      </c>
      <c r="AB48" s="990" t="s">
        <v>1824</v>
      </c>
      <c r="AC48" s="991" t="s">
        <v>1825</v>
      </c>
      <c r="AD48" s="992" t="s">
        <v>986</v>
      </c>
      <c r="AE48" s="612">
        <f>_xlfn.SUMIFS(Налоги!AE$26:AE$57,Налоги!$F$26:$F$57,$F48,Налоги!$G$26:$G$57,$G48)</f>
        <v>0</v>
      </c>
      <c r="AF48" s="612">
        <f>_xlfn.SUMIFS(Налоги!AF$26:AF$57,Налоги!$F$26:$F$57,$F48,Налоги!$G$26:$G$57,$G48)</f>
        <v>0</v>
      </c>
      <c r="AG48" s="612">
        <f>_xlfn.SUMIFS(Налоги!AG$26:AG$57,Налоги!$F$26:$F$57,$F48,Налоги!$G$26:$G$57,$G48)</f>
        <v>0</v>
      </c>
      <c r="AH48" s="307">
        <f>AG48-AF48</f>
        <v>0</v>
      </c>
      <c r="AI48" s="612">
        <f>_xlfn.SUMIFS(Налоги!AH$26:AH$57,Налоги!$F$26:$F$57,$F48,Налоги!$G$26:$G$57,$G48)</f>
        <v>0</v>
      </c>
      <c r="AJ48" s="612">
        <f>_xlfn.SUMIFS(Налоги!AI$26:AI$57,Налоги!$F$26:$F$57,$F48,Налоги!$G$26:$G$57,$G48)</f>
        <v>0</v>
      </c>
      <c r="AK48" s="612">
        <f>_xlfn.SUMIFS(Налоги!AS$26:AS$57,Налоги!$F$26:$F$57,$F48,Налоги!$G$26:$G$57,$G48)</f>
        <v>0</v>
      </c>
      <c r="AL48" s="307">
        <f>IF(AI48=0,0,(AK48-AI48)/AI48*100)</f>
        <v>0</v>
      </c>
      <c r="AM48" s="74"/>
      <c r="AN48" s="74"/>
      <c r="AO48" s="74"/>
      <c r="AR48" s="1231" t="s">
        <v>1826</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1767</v>
      </c>
      <c r="D49" s="1258" t="s">
        <v>1768</v>
      </c>
      <c r="E49" s="794">
        <v>35</v>
      </c>
      <c r="F49" s="920" cm="1" t="str">
        <f t="array" ref="F49:F49">OFFSET(G49,-1,-1)</f>
        <v>0</v>
      </c>
      <c r="L49" s="1287" t="s">
        <v>1827</v>
      </c>
      <c r="M49" s="1285" cm="1" t="str">
        <f t="array" ref="M49:M49">OFFSET(L49,-1,1)</f>
        <v>0</v>
      </c>
      <c r="N49" s="1287"/>
      <c r="O49" s="1287"/>
      <c r="P49" s="1287"/>
      <c r="Q49" s="1287"/>
      <c r="R49" s="1287"/>
      <c r="S49" s="1287"/>
      <c r="T49" s="805" cm="1" t="str">
        <f t="array" ref="T49:T49">T48</f>
        <v>false</v>
      </c>
      <c r="AB49" s="990" t="s">
        <v>1828</v>
      </c>
      <c r="AC49" s="991" t="s">
        <v>1829</v>
      </c>
      <c r="AD49" s="992" t="s">
        <v>986</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1233</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1767</v>
      </c>
      <c r="D50" s="1258" t="s">
        <v>1768</v>
      </c>
      <c r="E50" s="794">
        <v>17.1</v>
      </c>
      <c r="F50" s="920" cm="1" t="str">
        <f t="array" ref="F50:F50">OFFSET(G50,-1,-1)</f>
        <v>0</v>
      </c>
      <c r="G50" s="190" t="s">
        <v>1221</v>
      </c>
      <c r="L50" s="1287" t="s">
        <v>1830</v>
      </c>
      <c r="M50" s="1285" cm="1" t="str">
        <f t="array" ref="M50:M50">OFFSET(L50,-1,1)</f>
        <v>0</v>
      </c>
      <c r="N50" s="1287"/>
      <c r="O50" s="1287"/>
      <c r="P50" s="1287"/>
      <c r="Q50" s="1287"/>
      <c r="R50" s="1287"/>
      <c r="S50" s="1287"/>
      <c r="T50" s="805" cm="1" t="str">
        <f t="array" ref="T50:T50">T49</f>
        <v>false</v>
      </c>
      <c r="AB50" s="990" t="s">
        <v>1831</v>
      </c>
      <c r="AC50" s="991" t="s">
        <v>1832</v>
      </c>
      <c r="AD50" s="992" t="s">
        <v>986</v>
      </c>
      <c r="AE50" s="612">
        <f>_xlfn.SUMIFS(Налоги!AE$26:AE$57,Налоги!$F$26:$F$57,$F50,Налоги!$H$26:$H$57,$G50)</f>
        <v>0</v>
      </c>
      <c r="AF50" s="612">
        <f>_xlfn.SUMIFS(Налоги!AF$26:AF$57,Налоги!$F$26:$F$57,$F50,Налоги!$H$26:$H$57,$G50)</f>
        <v>0</v>
      </c>
      <c r="AG50" s="612">
        <f>_xlfn.SUMIFS(Налоги!AG$26:AG$57,Налоги!$F$26:$F$57,$F50,Налоги!$H$26:$H$57,$G50)</f>
        <v>0</v>
      </c>
      <c r="AH50" s="307">
        <f>AG50-AF50</f>
        <v>0</v>
      </c>
      <c r="AI50" s="612">
        <f>_xlfn.SUMIFS(Налоги!AH$26:AH$57,Налоги!$F$26:$F$57,$F50,Налоги!$H$26:$H$57,$G50)</f>
        <v>0</v>
      </c>
      <c r="AJ50" s="612">
        <f>_xlfn.SUMIFS(Налоги!AI$26:AI$57,Налоги!$F$26:$F$57,$F50,Налоги!$H$26:$H$57,$G50)</f>
        <v>0</v>
      </c>
      <c r="AK50" s="612">
        <f>_xlfn.SUMIFS(Налоги!AS$26:AS$57,Налоги!$F$26:$F$57,$F50,Налоги!$H$26:$H$57,$G50)</f>
        <v>0</v>
      </c>
      <c r="AL50" s="307">
        <f>IF(AI50=0,0,(AK50-AI50)/AI50*100)</f>
        <v>0</v>
      </c>
      <c r="AM50" s="74"/>
      <c r="AN50" s="74"/>
      <c r="AO50" s="74"/>
      <c r="AR50" s="1231" t="s">
        <v>558</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1767</v>
      </c>
      <c r="D51" s="1258" t="s">
        <v>1768</v>
      </c>
      <c r="E51" s="794">
        <v>17.1</v>
      </c>
      <c r="F51" s="920" cm="1" t="str">
        <f t="array" ref="F51:F51">OFFSET(G51,-1,-1)</f>
        <v>0</v>
      </c>
      <c r="G51" s="190" t="s">
        <v>1223</v>
      </c>
      <c r="L51" s="1287" t="s">
        <v>1833</v>
      </c>
      <c r="M51" s="1285" cm="1" t="str">
        <f t="array" ref="M51:M51">OFFSET(L51,-1,1)</f>
        <v>0</v>
      </c>
      <c r="N51" s="1287"/>
      <c r="O51" s="1287"/>
      <c r="P51" s="1287"/>
      <c r="Q51" s="1287"/>
      <c r="R51" s="1287"/>
      <c r="S51" s="1287"/>
      <c r="T51" s="805" cm="1" t="str">
        <f t="array" ref="T51:T51">T50</f>
        <v>false</v>
      </c>
      <c r="AB51" s="990" t="s">
        <v>1834</v>
      </c>
      <c r="AC51" s="991" t="s">
        <v>1224</v>
      </c>
      <c r="AD51" s="992" t="s">
        <v>986</v>
      </c>
      <c r="AE51" s="612">
        <f>_xlfn.SUMIFS(Налоги!AE$26:AE$57,Налоги!$F$26:$F$57,$F51,Налоги!$H$26:$H$57,$G51)</f>
        <v>0</v>
      </c>
      <c r="AF51" s="612">
        <f>_xlfn.SUMIFS(Налоги!AF$26:AF$57,Налоги!$F$26:$F$57,$F51,Налоги!$H$26:$H$57,$G51)</f>
        <v>0</v>
      </c>
      <c r="AG51" s="612">
        <f>_xlfn.SUMIFS(Налоги!AG$26:AG$57,Налоги!$F$26:$F$57,$F51,Налоги!$H$26:$H$57,$G51)</f>
        <v>0</v>
      </c>
      <c r="AH51" s="307">
        <f>AG51-AF51</f>
        <v>0</v>
      </c>
      <c r="AI51" s="612">
        <f>_xlfn.SUMIFS(Налоги!AH$26:AH$57,Налоги!$F$26:$F$57,$F51,Налоги!$H$26:$H$57,$G51)</f>
        <v>0</v>
      </c>
      <c r="AJ51" s="612">
        <f>_xlfn.SUMIFS(Налоги!AI$26:AI$57,Налоги!$F$26:$F$57,$F51,Налоги!$H$26:$H$57,$G51)</f>
        <v>0</v>
      </c>
      <c r="AK51" s="612">
        <f>_xlfn.SUMIFS(Налоги!AS$26:AS$57,Налоги!$F$26:$F$57,$F51,Налоги!$H$26:$H$57,$G51)</f>
        <v>0</v>
      </c>
      <c r="AL51" s="307">
        <f>IF(AI51=0,0,(AK51-AI51)/AI51*100)</f>
        <v>0</v>
      </c>
      <c r="AM51" s="74"/>
      <c r="AN51" s="74"/>
      <c r="AO51" s="74"/>
      <c r="AR51" s="1231" t="s">
        <v>1225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1767</v>
      </c>
      <c r="D52" s="1258" t="s">
        <v>1768</v>
      </c>
      <c r="E52" s="794">
        <v>17.1</v>
      </c>
      <c r="F52" s="920" cm="1" t="str">
        <f t="array" ref="F52:F52">OFFSET(G52,-1,-1)</f>
        <v>0</v>
      </c>
      <c r="G52" s="190" t="s">
        <v>1214</v>
      </c>
      <c r="L52" s="1287" t="s">
        <v>1835</v>
      </c>
      <c r="M52" s="1285" cm="1" t="str">
        <f t="array" ref="M52:M52">OFFSET(L52,-1,1)</f>
        <v>0</v>
      </c>
      <c r="N52" s="1287"/>
      <c r="O52" s="1287"/>
      <c r="P52" s="1287"/>
      <c r="Q52" s="1287"/>
      <c r="R52" s="1287"/>
      <c r="S52" s="1287"/>
      <c r="T52" s="805" cm="1" t="str">
        <f t="array" ref="T52:T52">T51</f>
        <v>false</v>
      </c>
      <c r="AB52" s="995" t="s">
        <v>1836</v>
      </c>
      <c r="AC52" s="996" t="s">
        <v>1215</v>
      </c>
      <c r="AD52" s="997" t="s">
        <v>986</v>
      </c>
      <c r="AE52" s="612">
        <f>_xlfn.SUMIFS(Налоги!AE$26:AE$57,Налоги!$F$26:$F$57,$F52,Налоги!$H$26:$H$57,$G52)</f>
        <v>0</v>
      </c>
      <c r="AF52" s="612">
        <f>_xlfn.SUMIFS(Налоги!AF$26:AF$57,Налоги!$F$26:$F$57,$F52,Налоги!$H$26:$H$57,$G52)</f>
        <v>0</v>
      </c>
      <c r="AG52" s="612">
        <f>_xlfn.SUMIFS(Налоги!AG$26:AG$57,Налоги!$F$26:$F$57,$F52,Налоги!$H$26:$H$57,$G52)</f>
        <v>0</v>
      </c>
      <c r="AH52" s="307">
        <f>AG52-AF52</f>
        <v>0</v>
      </c>
      <c r="AI52" s="612">
        <f>_xlfn.SUMIFS(Налоги!AH$26:AH$57,Налоги!$F$26:$F$57,$F52,Налоги!$H$26:$H$57,$G52)</f>
        <v>0</v>
      </c>
      <c r="AJ52" s="612">
        <f>_xlfn.SUMIFS(Налоги!AI$26:AI$57,Налоги!$F$26:$F$57,$F52,Налоги!$H$26:$H$57,$G52)</f>
        <v>0</v>
      </c>
      <c r="AK52" s="612">
        <f>_xlfn.SUMIFS(Налоги!AS$26:AS$57,Налоги!$F$26:$F$57,$F52,Налоги!$H$26:$H$57,$G52)</f>
        <v>0</v>
      </c>
      <c r="AL52" s="307">
        <f>IF(AI52=0,0,(AK52-AI52)/AI52*100)</f>
        <v>0</v>
      </c>
      <c r="AM52" s="74"/>
      <c r="AN52" s="74"/>
      <c r="AO52" s="74"/>
      <c r="AR52" s="1231" t="s">
        <v>1837</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1767</v>
      </c>
      <c r="D53" s="1258" t="s">
        <v>1768</v>
      </c>
      <c r="E53" s="794">
        <v>17.1</v>
      </c>
      <c r="F53" s="920" cm="1" t="str">
        <f t="array" ref="F53:F53">OFFSET(G53,-1,-1)</f>
        <v>0</v>
      </c>
      <c r="G53" s="190" t="s">
        <v>1228</v>
      </c>
      <c r="L53" s="1287" t="s">
        <v>1838</v>
      </c>
      <c r="M53" s="1285" cm="1" t="str">
        <f t="array" ref="M53:M53">OFFSET(L53,-1,1)</f>
        <v>0</v>
      </c>
      <c r="N53" s="1287"/>
      <c r="O53" s="1287"/>
      <c r="P53" s="1287"/>
      <c r="Q53" s="1287"/>
      <c r="R53" s="1287"/>
      <c r="S53" s="1287"/>
      <c r="T53" s="805" cm="1" t="str">
        <f t="array" ref="T53:T53">T52</f>
        <v>false</v>
      </c>
      <c r="AB53" s="857" t="s">
        <v>1839</v>
      </c>
      <c r="AC53" s="999" t="s">
        <v>1229</v>
      </c>
      <c r="AD53" s="857" t="s">
        <v>986</v>
      </c>
      <c r="AE53" s="612">
        <f>_xlfn.SUMIFS(Налоги!AE$26:AE$57,Налоги!$F$26:$F$57,$F53,Налоги!$H$26:$H$57,$G53)</f>
        <v>0</v>
      </c>
      <c r="AF53" s="612">
        <f>_xlfn.SUMIFS(Налоги!AF$26:AF$57,Налоги!$F$26:$F$57,$F53,Налоги!$H$26:$H$57,$G53)</f>
        <v>0</v>
      </c>
      <c r="AG53" s="612">
        <f>_xlfn.SUMIFS(Налоги!AG$26:AG$57,Налоги!$F$26:$F$57,$F53,Налоги!$H$26:$H$57,$G53)</f>
        <v>0</v>
      </c>
      <c r="AH53" s="307">
        <f>AG53-AF53</f>
        <v>0</v>
      </c>
      <c r="AI53" s="612">
        <f>_xlfn.SUMIFS(Налоги!AH$26:AH$57,Налоги!$F$26:$F$57,$F53,Налоги!$H$26:$H$57,$G53)</f>
        <v>0</v>
      </c>
      <c r="AJ53" s="612">
        <f>_xlfn.SUMIFS(Налоги!AI$26:AI$57,Налоги!$F$26:$F$57,$F53,Налоги!$H$26:$H$57,$G53)</f>
        <v>0</v>
      </c>
      <c r="AK53" s="612">
        <f>_xlfn.SUMIFS(Налоги!AS$26:AS$57,Налоги!$F$26:$F$57,$F53,Налоги!$H$26:$H$57,$G53)</f>
        <v>0</v>
      </c>
      <c r="AL53" s="307">
        <f>IF(AI53=0,0,(AK53-AI53)/AI53*100)</f>
        <v>0</v>
      </c>
      <c r="AM53" s="74"/>
      <c r="AN53" s="74"/>
      <c r="AO53" s="74"/>
      <c r="AR53" s="1231" t="s">
        <v>1230</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1767</v>
      </c>
      <c r="D54" s="1258" t="s">
        <v>1768</v>
      </c>
      <c r="E54" s="794">
        <v>17.1</v>
      </c>
      <c r="F54" s="920" cm="1" t="str">
        <f t="array" ref="F54:F54">OFFSET(G54,-1,-1)</f>
        <v>0</v>
      </c>
      <c r="G54" s="190" t="s">
        <v>1213</v>
      </c>
      <c r="L54" s="1287" t="s">
        <v>1840</v>
      </c>
      <c r="M54" s="1285" cm="1" t="str">
        <f t="array" ref="M54:M54">OFFSET(L54,-1,1)</f>
        <v>0</v>
      </c>
      <c r="N54" s="1287"/>
      <c r="O54" s="1287"/>
      <c r="P54" s="1287"/>
      <c r="Q54" s="1287"/>
      <c r="R54" s="1287"/>
      <c r="S54" s="1287"/>
      <c r="T54" s="805" cm="1" t="str">
        <f t="array" ref="T54:T54">T53</f>
        <v>false</v>
      </c>
      <c r="AB54" s="857" t="s">
        <v>1841</v>
      </c>
      <c r="AC54" s="999" t="s">
        <v>1842</v>
      </c>
      <c r="AD54" s="857" t="s">
        <v>986</v>
      </c>
      <c r="AE54" s="612">
        <f>_xlfn.SUMIFS(Налоги!AE$26:AE$57,Налоги!$F$26:$F$57,$F54,Налоги!$H$26:$H$57,$G54)</f>
        <v>0</v>
      </c>
      <c r="AF54" s="612">
        <f>_xlfn.SUMIFS(Налоги!AF$26:AF$57,Налоги!$F$26:$F$57,$F54,Налоги!$H$26:$H$57,$G54)</f>
        <v>0</v>
      </c>
      <c r="AG54" s="612">
        <f>_xlfn.SUMIFS(Налоги!AG$26:AG$57,Налоги!$F$26:$F$57,$F54,Налоги!$H$26:$H$57,$G54)</f>
        <v>0</v>
      </c>
      <c r="AH54" s="307">
        <f>AG54-AF54</f>
        <v>0</v>
      </c>
      <c r="AI54" s="612">
        <f>_xlfn.SUMIFS(Налоги!AH$26:AH$57,Налоги!$F$26:$F$57,$F54,Налоги!$H$26:$H$57,$G54)</f>
        <v>0</v>
      </c>
      <c r="AJ54" s="612">
        <f>_xlfn.SUMIFS(Налоги!AI$26:AI$57,Налоги!$F$26:$F$57,$F54,Налоги!$H$26:$H$57,$G54)</f>
        <v>0</v>
      </c>
      <c r="AK54" s="612">
        <f>_xlfn.SUMIFS(Налоги!AS$26:AS$57,Налоги!$F$26:$F$57,$F54,Налоги!$H$26:$H$57,$G54)</f>
        <v>0</v>
      </c>
      <c r="AL54" s="307">
        <f>IF(AI54=0,0,(AK54-AI54)/AI54*100)</f>
        <v>0</v>
      </c>
      <c r="AM54" s="74"/>
      <c r="AN54" s="74"/>
      <c r="AO54" s="74"/>
      <c r="AR54" s="1231" t="s">
        <v>1843</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1767</v>
      </c>
      <c r="D55" s="1258" t="s">
        <v>1768</v>
      </c>
      <c r="E55" s="794">
        <v>17.1</v>
      </c>
      <c r="F55" s="920" cm="1" t="str">
        <f t="array" ref="F55:F55">OFFSET(G55,-1,-1)</f>
        <v>0</v>
      </c>
      <c r="L55" s="1287" t="s">
        <v>1844</v>
      </c>
      <c r="M55" s="1285" cm="1" t="str">
        <f t="array" ref="M55:M55">OFFSET(L55,-1,1)</f>
        <v>0</v>
      </c>
      <c r="N55" s="1287"/>
      <c r="O55" s="1287"/>
      <c r="P55" s="1287"/>
      <c r="Q55" s="1287"/>
      <c r="R55" s="1287"/>
      <c r="S55" s="1287"/>
      <c r="T55" s="805" cm="1" t="str">
        <f t="array" ref="T55:T55">T54</f>
        <v>false</v>
      </c>
      <c r="AB55" s="884">
        <v>2</v>
      </c>
      <c r="AC55" s="1001" t="s">
        <v>1845</v>
      </c>
      <c r="AD55" s="884" t="s">
        <v>986</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1846</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1767</v>
      </c>
      <c r="D56" s="1258" t="s">
        <v>1768</v>
      </c>
      <c r="E56" s="794">
        <v>45</v>
      </c>
      <c r="F56" s="920" cm="1" t="str">
        <f t="array" ref="F56:F56">OFFSET(G56,-1,-1)</f>
        <v>0</v>
      </c>
      <c r="L56" s="1287"/>
      <c r="M56" s="1285" cm="1" t="str">
        <f t="array" ref="M56:M56">OFFSET(L56,-1,1)</f>
        <v>0</v>
      </c>
      <c r="N56" s="1287"/>
      <c r="O56" s="1287"/>
      <c r="P56" s="1287" t="s">
        <v>1847</v>
      </c>
      <c r="Q56" s="1287"/>
      <c r="R56" s="1287"/>
      <c r="S56" s="1287"/>
      <c r="T56" s="805" cm="1" t="str">
        <f t="array" ref="T56:T56">T55</f>
        <v>false</v>
      </c>
      <c r="AB56" s="857" t="s">
        <v>443</v>
      </c>
      <c r="AC56" s="1002" t="s">
        <v>1848</v>
      </c>
      <c r="AD56" s="857" t="s">
        <v>986</v>
      </c>
      <c r="AE56" s="122"/>
      <c r="AF56" s="122"/>
      <c r="AG56" s="122"/>
      <c r="AH56" s="307">
        <f>AG56-AF56</f>
        <v>0</v>
      </c>
      <c r="AI56" s="122"/>
      <c r="AJ56" s="614"/>
      <c r="AK56" s="614"/>
      <c r="AL56" s="307">
        <f>IF(AI56=0,0,(AK56-AI56)/AI56*100)</f>
        <v>0</v>
      </c>
      <c r="AM56" s="74"/>
      <c r="AN56" s="74"/>
      <c r="AO56" s="74"/>
      <c r="AR56" s="1231" t="s">
        <v>1849</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1767</v>
      </c>
      <c r="D57" s="1258" t="s">
        <v>1768</v>
      </c>
      <c r="E57" s="794">
        <v>17.1</v>
      </c>
      <c r="F57" s="920" cm="1" t="str">
        <f t="array" ref="F57:F57">OFFSET(G57,-1,-1)</f>
        <v>0</v>
      </c>
      <c r="L57" s="1287"/>
      <c r="M57" s="1285" cm="1" t="str">
        <f t="array" ref="M57:M57">OFFSET(L57,-1,1)</f>
        <v>0</v>
      </c>
      <c r="N57" s="1287" t="s">
        <v>1850</v>
      </c>
      <c r="O57" s="1287"/>
      <c r="P57" s="1287"/>
      <c r="Q57" s="1287"/>
      <c r="R57" s="1287"/>
      <c r="S57" s="1287"/>
      <c r="T57" s="805" cm="1" t="str">
        <f t="array" ref="T57:T57">T56</f>
        <v>false</v>
      </c>
      <c r="AB57" s="555" t="s">
        <v>470</v>
      </c>
      <c r="AC57" s="1003" t="s">
        <v>1335</v>
      </c>
      <c r="AD57" s="571" t="s">
        <v>986</v>
      </c>
      <c r="AE57" s="122"/>
      <c r="AF57" s="122"/>
      <c r="AG57" s="122"/>
      <c r="AH57" s="307">
        <f>AG57-AF57</f>
        <v>0</v>
      </c>
      <c r="AI57" s="122"/>
      <c r="AJ57" s="614"/>
      <c r="AK57" s="614"/>
      <c r="AL57" s="307">
        <f>IF(AI57=0,0,(AK57-AI57)/AI57*100)</f>
        <v>0</v>
      </c>
      <c r="AM57" s="74"/>
      <c r="AN57" s="74"/>
      <c r="AO57" s="74"/>
      <c r="AR57" s="1231" t="s">
        <v>1851</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1767</v>
      </c>
      <c r="D58" s="1258" t="s">
        <v>1768</v>
      </c>
      <c r="E58" s="794">
        <v>35</v>
      </c>
      <c r="F58" s="920" cm="1" t="str">
        <f t="array" ref="F58:F58">OFFSET(G58,-1,-1)</f>
        <v>0</v>
      </c>
      <c r="L58" s="1287" t="s">
        <v>1852</v>
      </c>
      <c r="M58" s="1285" cm="1" t="str">
        <f t="array" ref="M58:M58">OFFSET(L58,-1,1)</f>
        <v>0</v>
      </c>
      <c r="N58" s="1287"/>
      <c r="O58" s="1287"/>
      <c r="P58" s="1287"/>
      <c r="Q58" s="1287"/>
      <c r="R58" s="1287"/>
      <c r="S58" s="1287"/>
      <c r="T58" s="805" cm="1" t="str">
        <f t="array" ref="T58:T58">T57</f>
        <v>false</v>
      </c>
      <c r="AB58" s="485" t="s">
        <v>474</v>
      </c>
      <c r="AC58" s="1004" t="s">
        <v>1347</v>
      </c>
      <c r="AD58" s="572" t="s">
        <v>986</v>
      </c>
      <c r="AE58" s="122"/>
      <c r="AF58" s="122"/>
      <c r="AG58" s="122"/>
      <c r="AH58" s="307">
        <f>AG58-AF58</f>
        <v>0</v>
      </c>
      <c r="AI58" s="122"/>
      <c r="AJ58" s="614"/>
      <c r="AK58" s="614"/>
      <c r="AL58" s="307">
        <f>IF(AI58=0,0,(AK58-AI58)/AI58*100)</f>
        <v>0</v>
      </c>
      <c r="AM58" s="74"/>
      <c r="AN58" s="74"/>
      <c r="AO58" s="74"/>
      <c r="AR58" s="1231" t="s">
        <v>1853</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1767</v>
      </c>
      <c r="D59" s="1258" t="s">
        <v>1768</v>
      </c>
      <c r="E59" s="794">
        <v>17.1</v>
      </c>
      <c r="F59" s="920" cm="1" t="str">
        <f t="array" ref="F59:F59">OFFSET(G59,-1,-1)</f>
        <v>0</v>
      </c>
      <c r="L59" s="1287"/>
      <c r="M59" s="1285" cm="1" t="str">
        <f t="array" ref="M59:M59">OFFSET(L59,-1,1)</f>
        <v>0</v>
      </c>
      <c r="N59" s="1277" t="s">
        <v>1854</v>
      </c>
      <c r="O59" s="1287"/>
      <c r="P59" s="1287"/>
      <c r="Q59" s="1287"/>
      <c r="R59" s="1287"/>
      <c r="S59" s="1287"/>
      <c r="T59" s="805" cm="1" t="str">
        <f t="array" ref="T59:T59">T58</f>
        <v>false</v>
      </c>
      <c r="AB59" s="485" t="s">
        <v>478</v>
      </c>
      <c r="AC59" s="1004" t="s">
        <v>1855</v>
      </c>
      <c r="AD59" s="572" t="s">
        <v>986</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1856</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1767</v>
      </c>
      <c r="D60" s="1258" t="s">
        <v>1768</v>
      </c>
      <c r="E60" s="794">
        <v>17.1</v>
      </c>
      <c r="F60" s="920" cm="1" t="str">
        <f t="array" ref="F60:F60">OFFSET(G60,-1,-1)</f>
        <v>0</v>
      </c>
      <c r="L60" s="1287" t="s">
        <v>1857</v>
      </c>
      <c r="M60" s="1285" cm="1" t="str">
        <f t="array" ref="M60:M60">OFFSET(L60,-1,1)</f>
        <v>0</v>
      </c>
      <c r="N60" s="1287"/>
      <c r="O60" s="1287"/>
      <c r="P60" s="1287"/>
      <c r="Q60" s="1287"/>
      <c r="R60" s="1287"/>
      <c r="S60" s="1287"/>
      <c r="T60" s="805" cm="1" t="str">
        <f t="array" ref="T60:T60">T59</f>
        <v>false</v>
      </c>
      <c r="AB60" s="496" t="s">
        <v>1858</v>
      </c>
      <c r="AC60" s="1006" t="s">
        <v>1859</v>
      </c>
      <c r="AD60" s="651" t="s">
        <v>986</v>
      </c>
      <c r="AE60" s="122"/>
      <c r="AF60" s="122"/>
      <c r="AG60" s="122"/>
      <c r="AH60" s="307">
        <f>AG60-AF60</f>
        <v>0</v>
      </c>
      <c r="AI60" s="122"/>
      <c r="AJ60" s="614"/>
      <c r="AK60" s="614"/>
      <c r="AL60" s="307">
        <f>IF(AI60=0,0,(AK60-AI60)/AI60*100)</f>
        <v>0</v>
      </c>
      <c r="AM60" s="74"/>
      <c r="AN60" s="74"/>
      <c r="AO60" s="74"/>
      <c r="AR60" s="1231" t="s">
        <v>1860</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1767</v>
      </c>
      <c r="D61" s="1258" t="s">
        <v>1768</v>
      </c>
      <c r="E61" s="794">
        <v>17.1</v>
      </c>
      <c r="F61" s="920" cm="1" t="str">
        <f t="array" ref="F61:F61">OFFSET(G61,-1,-1)</f>
        <v>0</v>
      </c>
      <c r="L61" s="1287"/>
      <c r="M61" s="1285" cm="1" t="str">
        <f t="array" ref="M61:M61">OFFSET(L61,-1,1)</f>
        <v>0</v>
      </c>
      <c r="N61" s="1287" t="s">
        <v>1861</v>
      </c>
      <c r="O61" s="1287"/>
      <c r="P61" s="1287"/>
      <c r="Q61" s="1287"/>
      <c r="R61" s="1287"/>
      <c r="S61" s="1287"/>
      <c r="T61" s="805" cm="1" t="str">
        <f t="array" ref="T61:T61">T60</f>
        <v>false</v>
      </c>
      <c r="AB61" s="857" t="s">
        <v>1862</v>
      </c>
      <c r="AC61" s="1002" t="s">
        <v>1863</v>
      </c>
      <c r="AD61" s="857" t="s">
        <v>986</v>
      </c>
      <c r="AE61" s="122"/>
      <c r="AF61" s="122"/>
      <c r="AG61" s="122"/>
      <c r="AH61" s="307">
        <f>AG61-AF61</f>
        <v>0</v>
      </c>
      <c r="AI61" s="122"/>
      <c r="AJ61" s="614"/>
      <c r="AK61" s="614"/>
      <c r="AL61" s="307">
        <f>IF(AI61=0,0,(AK61-AI61)/AI61*100)</f>
        <v>0</v>
      </c>
      <c r="AM61" s="74"/>
      <c r="AN61" s="74"/>
      <c r="AO61" s="74"/>
      <c r="AR61" s="1231" t="s">
        <v>1864</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1767</v>
      </c>
      <c r="D62" s="1258" t="s">
        <v>1768</v>
      </c>
      <c r="E62" s="794">
        <v>35</v>
      </c>
      <c r="F62" s="920" cm="1" t="str">
        <f t="array" ref="F62:F62">OFFSET(G62,-1,-1)</f>
        <v>0</v>
      </c>
      <c r="L62" s="1287"/>
      <c r="M62" s="1285" cm="1" t="str">
        <f t="array" ref="M62:M62">OFFSET(L62,-1,1)</f>
        <v>0</v>
      </c>
      <c r="N62" s="1287" t="s">
        <v>1865</v>
      </c>
      <c r="O62" s="1287"/>
      <c r="P62" s="1287"/>
      <c r="Q62" s="1287"/>
      <c r="R62" s="1287"/>
      <c r="S62" s="1287"/>
      <c r="T62" s="805" cm="1" t="str">
        <f t="array" ref="T62:T62">T61</f>
        <v>false</v>
      </c>
      <c r="AB62" s="884">
        <v>3</v>
      </c>
      <c r="AC62" s="1008" t="s">
        <v>1866</v>
      </c>
      <c r="AD62" s="884" t="s">
        <v>986</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1867</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1767</v>
      </c>
      <c r="D63" s="1258" t="s">
        <v>1768</v>
      </c>
      <c r="E63" s="794">
        <v>17.1</v>
      </c>
      <c r="F63" s="920" cm="1" t="str">
        <f t="array" ref="F63:F63">OFFSET(G63,-1,-1)</f>
        <v>0</v>
      </c>
      <c r="L63" s="1287"/>
      <c r="M63" s="1285" cm="1" t="str">
        <f t="array" ref="M63:M63">OFFSET(L63,-1,1)</f>
        <v>0</v>
      </c>
      <c r="N63" s="1287" t="s">
        <v>1868</v>
      </c>
      <c r="O63" s="1287"/>
      <c r="P63" s="1287"/>
      <c r="Q63" s="1287"/>
      <c r="R63" s="1287"/>
      <c r="S63" s="1287"/>
      <c r="T63" s="805" cm="1" t="str">
        <f t="array" ref="T63:T63">T62</f>
        <v>false</v>
      </c>
      <c r="AB63" s="857" t="s">
        <v>704</v>
      </c>
      <c r="AC63" s="999" t="s">
        <v>1869</v>
      </c>
      <c r="AD63" s="857" t="s">
        <v>986</v>
      </c>
      <c r="AE63" s="122"/>
      <c r="AF63" s="122"/>
      <c r="AG63" s="122"/>
      <c r="AH63" s="307">
        <f>AG63-AF63</f>
        <v>0</v>
      </c>
      <c r="AI63" s="122"/>
      <c r="AJ63" s="614"/>
      <c r="AK63" s="614"/>
      <c r="AL63" s="307">
        <f>IF(AI63=0,0,(AK63-AI63)/AI63*100)</f>
        <v>0</v>
      </c>
      <c r="AM63" s="74"/>
      <c r="AN63" s="74"/>
      <c r="AO63" s="74"/>
      <c r="AR63" s="1231" t="s">
        <v>1870</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1767</v>
      </c>
      <c r="D64" s="1258" t="s">
        <v>1768</v>
      </c>
      <c r="E64" s="794">
        <v>17.1</v>
      </c>
      <c r="F64" s="920" cm="1" t="str">
        <f t="array" ref="F64:F64">OFFSET(G64,-1,-1)</f>
        <v>0</v>
      </c>
      <c r="L64" s="1287"/>
      <c r="M64" s="1285" cm="1" t="str">
        <f t="array" ref="M64:M64">OFFSET(L64,-1,1)</f>
        <v>0</v>
      </c>
      <c r="N64" s="1287" t="s">
        <v>1871</v>
      </c>
      <c r="O64" s="1287"/>
      <c r="P64" s="1287"/>
      <c r="Q64" s="1287"/>
      <c r="R64" s="1287"/>
      <c r="S64" s="1287"/>
      <c r="T64" s="805" cm="1" t="str">
        <f t="array" ref="T64:T64">T63</f>
        <v>false</v>
      </c>
      <c r="AB64" s="857" t="s">
        <v>707</v>
      </c>
      <c r="AC64" s="999" t="s">
        <v>1872</v>
      </c>
      <c r="AD64" s="857" t="s">
        <v>986</v>
      </c>
      <c r="AE64" s="122"/>
      <c r="AF64" s="122"/>
      <c r="AG64" s="122"/>
      <c r="AH64" s="307">
        <f>AG64-AF64</f>
        <v>0</v>
      </c>
      <c r="AI64" s="122"/>
      <c r="AJ64" s="614"/>
      <c r="AK64" s="614"/>
      <c r="AL64" s="307">
        <f>IF(AI64=0,0,(AK64-AI64)/AI64*100)</f>
        <v>0</v>
      </c>
      <c r="AM64" s="74"/>
      <c r="AN64" s="74"/>
      <c r="AO64" s="74"/>
      <c r="AR64" s="1231" t="s">
        <v>1873</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1767</v>
      </c>
      <c r="D65" s="1258" t="s">
        <v>1768</v>
      </c>
      <c r="E65" s="794">
        <v>17.1</v>
      </c>
      <c r="F65" s="920" cm="1" t="str">
        <f t="array" ref="F65:F65">OFFSET(G65,-1,-1)</f>
        <v>0</v>
      </c>
      <c r="L65" s="1287"/>
      <c r="M65" s="1285" cm="1" t="str">
        <f t="array" ref="M65:M65">OFFSET(L65,-1,1)</f>
        <v>0</v>
      </c>
      <c r="N65" s="1287"/>
      <c r="O65" s="1287"/>
      <c r="P65" s="1287"/>
      <c r="Q65" s="1287" t="s">
        <v>1874</v>
      </c>
      <c r="R65" s="1287"/>
      <c r="S65" s="1287"/>
      <c r="T65" s="805" cm="1" t="str">
        <f t="array" ref="T65:T65">T64</f>
        <v>false</v>
      </c>
      <c r="AB65" s="857" t="s">
        <v>1875</v>
      </c>
      <c r="AC65" s="999" t="s">
        <v>1876</v>
      </c>
      <c r="AD65" s="857" t="s">
        <v>986</v>
      </c>
      <c r="AE65" s="122"/>
      <c r="AF65" s="122"/>
      <c r="AG65" s="122"/>
      <c r="AH65" s="307">
        <f>AG65-AF65</f>
        <v>0</v>
      </c>
      <c r="AI65" s="122"/>
      <c r="AJ65" s="614"/>
      <c r="AK65" s="614"/>
      <c r="AL65" s="307">
        <f>IF(AI65=0,0,(AK65-AI65)/AI65*100)</f>
        <v>0</v>
      </c>
      <c r="AM65" s="74"/>
      <c r="AN65" s="74"/>
      <c r="AO65" s="74"/>
      <c r="AR65" s="1231" t="s">
        <v>1877</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1767</v>
      </c>
      <c r="D66" s="1258" t="s">
        <v>1768</v>
      </c>
      <c r="E66" s="794">
        <v>17.1</v>
      </c>
      <c r="F66" s="920" cm="1" t="str">
        <f t="array" ref="F66:F66">OFFSET(G66,-1,-1)</f>
        <v>0</v>
      </c>
      <c r="L66" s="1287" t="s">
        <v>1827</v>
      </c>
      <c r="M66" s="1285" cm="1" t="str">
        <f t="array" ref="M66:M66">OFFSET(L66,-1,1)</f>
        <v>0</v>
      </c>
      <c r="N66" s="1287" t="s">
        <v>1854</v>
      </c>
      <c r="O66" s="1287"/>
      <c r="P66" s="1287"/>
      <c r="Q66" s="1287"/>
      <c r="R66" s="1287"/>
      <c r="S66" s="1287"/>
      <c r="T66" s="805" cm="1" t="str">
        <f t="array" ref="T66:T66">T65</f>
        <v>false</v>
      </c>
      <c r="AB66" s="857" t="s">
        <v>1878</v>
      </c>
      <c r="AC66" s="999" t="s">
        <v>1232</v>
      </c>
      <c r="AD66" s="857" t="s">
        <v>986</v>
      </c>
      <c r="AE66" s="122"/>
      <c r="AF66" s="122"/>
      <c r="AG66" s="122"/>
      <c r="AH66" s="307">
        <f>AG66-AF66</f>
        <v>0</v>
      </c>
      <c r="AI66" s="122"/>
      <c r="AJ66" s="614"/>
      <c r="AK66" s="614"/>
      <c r="AL66" s="307">
        <f>IF(AI66=0,0,(AK66-AI66)/AI66*100)</f>
        <v>0</v>
      </c>
      <c r="AM66" s="74"/>
      <c r="AN66" s="74"/>
      <c r="AO66" s="74"/>
      <c r="AR66" s="1231" t="s">
        <v>1879</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1767</v>
      </c>
      <c r="D67" s="1258" t="s">
        <v>1768</v>
      </c>
      <c r="E67" s="794">
        <v>17.1</v>
      </c>
      <c r="F67" s="920" cm="1" t="str">
        <f t="array" ref="F67:F67">OFFSET(G67,-1,-1)</f>
        <v>0</v>
      </c>
      <c r="G67" s="736" t="s">
        <v>1226</v>
      </c>
      <c r="L67" s="1287" t="s">
        <v>1880</v>
      </c>
      <c r="M67" s="1285" cm="1" t="str">
        <f t="array" ref="M67:M67">OFFSET(L67,-1,1)</f>
        <v>0</v>
      </c>
      <c r="N67" s="1287"/>
      <c r="O67" s="1287"/>
      <c r="P67" s="1287"/>
      <c r="Q67" s="1287"/>
      <c r="R67" s="1287"/>
      <c r="S67" s="1287"/>
      <c r="T67" s="805" cm="1" t="str">
        <f t="array" ref="T67:T67">T66</f>
        <v>false</v>
      </c>
      <c r="AB67" s="884">
        <v>4</v>
      </c>
      <c r="AC67" s="1008" t="s">
        <v>1344</v>
      </c>
      <c r="AD67" s="884" t="s">
        <v>986</v>
      </c>
      <c r="AE67" s="612">
        <f>_xlfn.SUMIFS(Налоги!AE$26:AE$57,Налоги!$F$26:$F$57,$F67,Налоги!$G$26:$G$57,$G67)</f>
        <v>0</v>
      </c>
      <c r="AF67" s="612">
        <f>_xlfn.SUMIFS(Налоги!AF$26:AF$57,Налоги!$F$26:$F$57,$F67,Налоги!$G$26:$G$57,$G67)</f>
        <v>0</v>
      </c>
      <c r="AG67" s="612">
        <f>_xlfn.SUMIFS(Налоги!AG$26:AG$57,Налоги!$F$26:$F$57,$F67,Налоги!$G$26:$G$57,$G67)</f>
        <v>0</v>
      </c>
      <c r="AH67" s="307">
        <f>AG67-AF67</f>
        <v>0</v>
      </c>
      <c r="AI67" s="612">
        <f>_xlfn.SUMIFS(Налоги!AH$26:AH$57,Налоги!$F$26:$F$57,$F67,Налоги!$G$26:$G$57,$G67)</f>
        <v>0</v>
      </c>
      <c r="AJ67" s="612">
        <f>_xlfn.SUMIFS(Налоги!AI$26:AI$57,Налоги!$F$26:$F$57,$F67,Налоги!$G$26:$G$57,$G67)</f>
        <v>0</v>
      </c>
      <c r="AK67" s="612">
        <f>_xlfn.SUMIFS(Налоги!AS$26:AS$57,Налоги!$F$26:$F$57,$F67,Налоги!$G$26:$G$57,$G67)</f>
        <v>0</v>
      </c>
      <c r="AL67" s="307">
        <f>IF(AI67=0,0,(AK67-AI67)/AI67*100)</f>
        <v>0</v>
      </c>
      <c r="AM67" s="74"/>
      <c r="AN67" s="74"/>
      <c r="AO67" s="74"/>
      <c r="AR67" s="1231" t="s">
        <v>566</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1633</v>
      </c>
      <c r="D68" s="1258" t="s">
        <v>1634</v>
      </c>
      <c r="E68" s="794">
        <v>35</v>
      </c>
      <c r="F68" s="920" cm="1" t="str">
        <f t="array" ref="F68:F68">OFFSET(G68,-1,-1)</f>
        <v>0</v>
      </c>
      <c r="L68" s="1287"/>
      <c r="M68" s="1285" cm="1" t="str">
        <f t="array" ref="M68:M68">OFFSET(L68,-1,1)</f>
        <v>0</v>
      </c>
      <c r="N68" s="1287" t="s">
        <v>1881</v>
      </c>
      <c r="O68" s="1287"/>
      <c r="P68" s="1287"/>
      <c r="Q68" s="1287"/>
      <c r="R68" s="1287"/>
      <c r="S68" s="1287"/>
      <c r="T68" s="805" cm="1" t="str">
        <f t="array" ref="T68:T68">T67</f>
        <v>false</v>
      </c>
      <c r="AB68" s="884">
        <v>5</v>
      </c>
      <c r="AC68" s="1008" t="s">
        <v>1882</v>
      </c>
      <c r="AD68" s="884" t="s">
        <v>986</v>
      </c>
      <c r="AE68" s="122"/>
      <c r="AF68" s="122"/>
      <c r="AG68" s="122"/>
      <c r="AH68" s="307">
        <f>AG68-AF68</f>
        <v>0</v>
      </c>
      <c r="AI68" s="122"/>
      <c r="AJ68" s="614"/>
      <c r="AK68" s="614"/>
      <c r="AL68" s="307">
        <f>IF(AI68=0,0,(AK68-AI68)/AI68*100)</f>
        <v>0</v>
      </c>
      <c r="AM68" s="74"/>
      <c r="AN68" s="74"/>
      <c r="AO68" s="74"/>
      <c r="AR68" s="1231" t="s">
        <v>1475</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1767</v>
      </c>
      <c r="D69" s="1258" t="s">
        <v>1768</v>
      </c>
      <c r="E69" s="794">
        <v>17.1</v>
      </c>
      <c r="F69" s="920" cm="1" t="str">
        <f t="array" ref="F69:F69">OFFSET(G69,-1,-1)</f>
        <v>0</v>
      </c>
      <c r="L69" s="1287"/>
      <c r="M69" s="1285" cm="1" t="str">
        <f t="array" ref="M69:M69">OFFSET(L69,-1,1)</f>
        <v>0</v>
      </c>
      <c r="N69" s="1287" t="s">
        <v>1883</v>
      </c>
      <c r="O69" s="1287"/>
      <c r="P69" s="1287"/>
      <c r="Q69" s="1287"/>
      <c r="R69" s="1287"/>
      <c r="S69" s="1287"/>
      <c r="T69" s="805" cm="1" t="str">
        <f t="array" ref="T69:T69">T68</f>
        <v>false</v>
      </c>
      <c r="AB69" s="884">
        <v>6</v>
      </c>
      <c r="AC69" s="1008" t="s">
        <v>1884</v>
      </c>
      <c r="AD69" s="884" t="s">
        <v>986</v>
      </c>
      <c r="AE69" s="122"/>
      <c r="AF69" s="122"/>
      <c r="AG69" s="122"/>
      <c r="AH69" s="307">
        <f>AG69-AF69</f>
        <v>0</v>
      </c>
      <c r="AI69" s="122"/>
      <c r="AJ69" s="614"/>
      <c r="AK69" s="614"/>
      <c r="AL69" s="307">
        <f>IF(AI69=0,0,(AK69-AI69)/AI69*100)</f>
        <v>0</v>
      </c>
      <c r="AM69" s="74"/>
      <c r="AN69" s="74"/>
      <c r="AO69" s="74"/>
      <c r="AR69" s="1231" t="s">
        <v>1346</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1661</v>
      </c>
      <c r="D70" s="1258" t="s">
        <v>1662</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645</v>
      </c>
      <c r="AC70" s="1010" t="s">
        <v>1664</v>
      </c>
      <c r="AD70" s="1011" t="s">
        <v>986</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1885</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1666</v>
      </c>
      <c r="D71" s="1258" t="s">
        <v>1667</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650</v>
      </c>
      <c r="AC71" s="1084" t="s">
        <v>1666</v>
      </c>
      <c r="AD71" s="857" t="s">
        <v>986</v>
      </c>
      <c r="AE71" s="122"/>
      <c r="AF71" s="122"/>
      <c r="AG71" s="122"/>
      <c r="AH71" s="307">
        <f>AG71-AF71</f>
        <v>0</v>
      </c>
      <c r="AI71" s="122"/>
      <c r="AJ71" s="614"/>
      <c r="AK71" s="614"/>
      <c r="AL71" s="307">
        <f>IF(AI71=0,0,(AK71-AI71)/AI71*100)</f>
        <v>0</v>
      </c>
      <c r="AM71" s="74"/>
      <c r="AN71" s="74"/>
      <c r="AO71" s="74"/>
      <c r="AR71" s="1231" t="s">
        <v>1886</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1670</v>
      </c>
      <c r="D72" s="1258" t="s">
        <v>1671</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658</v>
      </c>
      <c r="AC72" s="1071" t="s">
        <v>1674</v>
      </c>
      <c r="AD72" s="1013" t="s">
        <v>986</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1887</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1676</v>
      </c>
      <c r="D73" s="1258" t="s">
        <v>1677</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1679</v>
      </c>
      <c r="AD73" s="309" t="s">
        <v>799</v>
      </c>
      <c r="AE73" s="122"/>
      <c r="AF73" s="122"/>
      <c r="AG73" s="122"/>
      <c r="AH73" s="307">
        <f>AG73-AF73</f>
        <v>0</v>
      </c>
      <c r="AI73" s="122"/>
      <c r="AJ73" s="614"/>
      <c r="AK73" s="614"/>
      <c r="AL73" s="307">
        <f>IF(AI73=0,0,(AK73-AI73)/AI73*100)</f>
        <v>0</v>
      </c>
      <c r="AM73" s="74"/>
      <c r="AN73" s="74"/>
      <c r="AO73" s="74"/>
      <c r="AR73" s="1231" t="s">
        <v>1888</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1681</v>
      </c>
      <c r="D74" s="1258" t="s">
        <v>1682</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1681</v>
      </c>
      <c r="AD74" s="309" t="s">
        <v>799</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1889</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1684</v>
      </c>
      <c r="D75" s="1258" t="s">
        <v>1685</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682</v>
      </c>
      <c r="AC75" s="310" t="s">
        <v>1687</v>
      </c>
      <c r="AD75" s="315" t="s">
        <v>586</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1688</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1689</v>
      </c>
      <c r="D76" s="1258" t="s">
        <v>1690</v>
      </c>
      <c r="E76" s="794">
        <v>17.1</v>
      </c>
      <c r="F76" s="920" cm="1" t="str">
        <f t="array" ref="F76:F76">OFFSET(G76,-1,-1)</f>
        <v>0</v>
      </c>
      <c r="G76" s="190" t="s">
        <v>1691</v>
      </c>
      <c r="L76" s="1295"/>
      <c r="M76" s="1285" cm="1" t="str">
        <f t="array" ref="M76:M76">OFFSET(L76,-1,1)</f>
        <v>0</v>
      </c>
      <c r="N76" s="1295"/>
      <c r="O76" s="1295"/>
      <c r="P76" s="1295"/>
      <c r="Q76" s="1287"/>
      <c r="R76" s="1287"/>
      <c r="S76" s="1287" t="s">
        <v>1692</v>
      </c>
      <c r="T76" s="805" cm="1" t="str">
        <f t="array" ref="T76:T76">T75</f>
        <v>false</v>
      </c>
      <c r="AB76" s="660" t="str">
        <f>AB75&amp;".1"</f>
        <v>10.1</v>
      </c>
      <c r="AC76" s="286" t="s">
        <v>1693</v>
      </c>
      <c r="AD76" s="309" t="s">
        <v>586</v>
      </c>
      <c r="AE76" s="122"/>
      <c r="AF76" s="613"/>
      <c r="AG76" s="613"/>
      <c r="AH76" s="374"/>
      <c r="AI76" s="122"/>
      <c r="AJ76" s="614"/>
      <c r="AK76" s="614"/>
      <c r="AL76" s="307">
        <f>IF(AI76=0,0,(AK76-AI76)/AI76*100)</f>
        <v>0</v>
      </c>
      <c r="AM76" s="74"/>
      <c r="AN76" s="74"/>
      <c r="AO76" s="74"/>
      <c r="AR76" s="1231" t="s">
        <v>1694</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1695</v>
      </c>
      <c r="D77" s="1258" t="s">
        <v>1696</v>
      </c>
      <c r="E77" s="794">
        <v>17.1</v>
      </c>
      <c r="F77" s="920" cm="1" t="str">
        <f t="array" ref="F77:F77">OFFSET(G77,-1,-1)</f>
        <v>0</v>
      </c>
      <c r="G77" s="736" t="s">
        <v>1697</v>
      </c>
      <c r="L77" s="1295"/>
      <c r="M77" s="1285" cm="1" t="str">
        <f t="array" ref="M77:M77">OFFSET(L77,-1,1)</f>
        <v>0</v>
      </c>
      <c r="N77" s="1295"/>
      <c r="O77" s="1295"/>
      <c r="P77" s="1295"/>
      <c r="Q77" s="1287"/>
      <c r="R77" s="1287"/>
      <c r="S77" s="1287" t="s">
        <v>1692</v>
      </c>
      <c r="T77" s="805" cm="1" t="str">
        <f t="array" ref="T77:T77">T76</f>
        <v>false</v>
      </c>
      <c r="AB77" s="660" t="str">
        <f>AB75&amp;".2"</f>
        <v>10.2</v>
      </c>
      <c r="AC77" s="286" t="s">
        <v>1698</v>
      </c>
      <c r="AD77" s="309" t="s">
        <v>889</v>
      </c>
      <c r="AE77" s="122"/>
      <c r="AF77" s="613"/>
      <c r="AG77" s="613"/>
      <c r="AH77" s="374"/>
      <c r="AI77" s="122"/>
      <c r="AJ77" s="614"/>
      <c r="AK77" s="614"/>
      <c r="AL77" s="307">
        <f>IF(AI77=0,0,(AK77-AI77)/AI77*100)</f>
        <v>0</v>
      </c>
      <c r="AM77" s="74"/>
      <c r="AN77" s="74"/>
      <c r="AO77" s="74"/>
      <c r="AR77" s="1231" t="s">
        <v>1699</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1689</v>
      </c>
      <c r="D78" s="1258" t="s">
        <v>1690</v>
      </c>
      <c r="E78" s="794">
        <v>17.1</v>
      </c>
      <c r="F78" s="920" cm="1" t="str">
        <f t="array" ref="F78:F78">OFFSET(G78,-1,-1)</f>
        <v>0</v>
      </c>
      <c r="G78" s="190" t="s">
        <v>1700</v>
      </c>
      <c r="L78" s="1287"/>
      <c r="M78" s="1285" cm="1" t="str">
        <f t="array" ref="M78:M78">OFFSET(L78,-1,1)</f>
        <v>0</v>
      </c>
      <c r="N78" s="1287"/>
      <c r="O78" s="1287"/>
      <c r="P78" s="1287"/>
      <c r="Q78" s="1287"/>
      <c r="R78" s="1287"/>
      <c r="S78" s="1287" t="s">
        <v>1701</v>
      </c>
      <c r="T78" s="805" cm="1" t="str">
        <f t="array" ref="T78:T78">T77</f>
        <v>false</v>
      </c>
      <c r="AB78" s="660" t="str">
        <f>AB75&amp;".3"</f>
        <v>10.3</v>
      </c>
      <c r="AC78" s="286" t="s">
        <v>1702</v>
      </c>
      <c r="AD78" s="309" t="s">
        <v>586</v>
      </c>
      <c r="AE78" s="1019">
        <f>AE75-AE76</f>
        <v>0</v>
      </c>
      <c r="AF78" s="613"/>
      <c r="AG78" s="613"/>
      <c r="AH78" s="374"/>
      <c r="AI78" s="1019">
        <f>AI75-AI76</f>
        <v>0</v>
      </c>
      <c r="AJ78" s="1019">
        <f>AJ75-AJ76</f>
        <v>0</v>
      </c>
      <c r="AK78" s="1019">
        <f>AK75-AK76</f>
        <v>0</v>
      </c>
      <c r="AL78" s="307">
        <f>IF(AI78=0,0,(AK78-AI78)/AI78*100)</f>
        <v>0</v>
      </c>
      <c r="AM78" s="69"/>
      <c r="AN78" s="69"/>
      <c r="AO78" s="69"/>
      <c r="AR78" s="1231" t="s">
        <v>1703</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1695</v>
      </c>
      <c r="D79" s="1258" t="s">
        <v>1696</v>
      </c>
      <c r="E79" s="794">
        <v>17.1</v>
      </c>
      <c r="F79" s="920" cm="1" t="str">
        <f t="array" ref="F79:F79">OFFSET(G79,-1,-1)</f>
        <v>0</v>
      </c>
      <c r="G79" s="736" t="s">
        <v>1704</v>
      </c>
      <c r="L79" s="1287"/>
      <c r="M79" s="1285" cm="1" t="str">
        <f t="array" ref="M79:M79">OFFSET(L79,-1,1)</f>
        <v>0</v>
      </c>
      <c r="N79" s="1287"/>
      <c r="O79" s="1287"/>
      <c r="P79" s="1287"/>
      <c r="Q79" s="1287"/>
      <c r="R79" s="1287"/>
      <c r="S79" s="1287" t="s">
        <v>1701</v>
      </c>
      <c r="T79" s="805" cm="1" t="str">
        <f t="array" ref="T79:T79">T78</f>
        <v>false</v>
      </c>
      <c r="AB79" s="660" t="str">
        <f>AB75&amp;".4"</f>
        <v>10.4</v>
      </c>
      <c r="AC79" s="286" t="s">
        <v>1705</v>
      </c>
      <c r="AD79" s="309" t="s">
        <v>889</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1706</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1707</v>
      </c>
      <c r="D80" s="1258" t="s">
        <v>1708</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1709</v>
      </c>
      <c r="AD80" s="309" t="s">
        <v>485</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1710</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1711</v>
      </c>
      <c r="D81" s="1258" t="s">
        <v>1712</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1713</v>
      </c>
      <c r="AD81" s="309" t="s">
        <v>889</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1714</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1715</v>
      </c>
      <c r="D82" s="1258" t="s">
        <v>1716</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690</v>
      </c>
      <c r="AC82" s="887" t="s">
        <v>1718</v>
      </c>
      <c r="AD82" s="664" t="s">
        <v>684</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685</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1715</v>
      </c>
      <c r="D83" s="1258" t="s">
        <v>1716</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1692</v>
      </c>
      <c r="T83" s="805">
        <f>AND(F83&gt;0,H83="двухставочный")</f>
        <v>0</v>
      </c>
      <c r="AB83" s="660" t="str">
        <f>AB82&amp;".1"</f>
        <v>11.1</v>
      </c>
      <c r="AC83" s="720" t="s">
        <v>1720</v>
      </c>
      <c r="AD83" s="620" t="s">
        <v>684</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1721</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1715</v>
      </c>
      <c r="D84" s="1258" t="s">
        <v>1716</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1701</v>
      </c>
      <c r="T84" s="805">
        <f>AND(F84&gt;0,H84="двухставочный")</f>
        <v>0</v>
      </c>
      <c r="AB84" s="660" t="str">
        <f>AB82&amp;".2"</f>
        <v>11.2</v>
      </c>
      <c r="AC84" s="720" t="s">
        <v>1723</v>
      </c>
      <c r="AD84" s="620" t="s">
        <v>684</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1724</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1663</v>
      </c>
      <c r="AC85" s="160" t="s">
        <v>1726</v>
      </c>
      <c r="AD85" s="710"/>
      <c r="AE85" s="735"/>
      <c r="AF85" s="613"/>
      <c r="AG85" s="613"/>
      <c r="AH85" s="374"/>
      <c r="AI85" s="735"/>
      <c r="AJ85" s="735"/>
      <c r="AK85" s="735"/>
      <c r="AL85" s="374"/>
      <c r="AM85" s="74"/>
      <c r="AN85" s="74"/>
      <c r="AO85" s="74"/>
      <c r="AR85" s="1231" t="s">
        <v>1727</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1728</v>
      </c>
      <c r="D86" s="1258" t="s">
        <v>1729</v>
      </c>
      <c r="E86" s="794">
        <v>17.1</v>
      </c>
      <c r="F86" s="920" cm="1" t="str">
        <f t="array" ref="F86:F86">OFFSET(G86,-1,-1)</f>
        <v>0</v>
      </c>
      <c r="G86" s="736" t="s">
        <v>1730</v>
      </c>
      <c r="H86" s="190" cm="1" t="str">
        <f t="array" ref="H86:H86">G27</f>
        <v>0</v>
      </c>
      <c r="L86" s="1287"/>
      <c r="M86" s="1285" cm="1" t="str">
        <f t="array" ref="M86:M86">OFFSET(L86,-1,1)</f>
        <v>0</v>
      </c>
      <c r="N86" s="1287"/>
      <c r="O86" s="1287"/>
      <c r="P86" s="1287"/>
      <c r="Q86" s="1287"/>
      <c r="R86" s="1287"/>
      <c r="S86" s="1287" t="s">
        <v>1692</v>
      </c>
      <c r="T86" s="805">
        <f>AND(F86&gt;0,H86="двухставочный")</f>
        <v>0</v>
      </c>
      <c r="AB86" s="660" t="str">
        <f>AB85&amp;".1"</f>
        <v>12.1</v>
      </c>
      <c r="AC86" s="1347" t="s">
        <v>1731</v>
      </c>
      <c r="AD86" s="517" t="s">
        <v>889</v>
      </c>
      <c r="AE86" s="131"/>
      <c r="AF86" s="613"/>
      <c r="AG86" s="613"/>
      <c r="AH86" s="374"/>
      <c r="AI86" s="131"/>
      <c r="AJ86" s="638"/>
      <c r="AK86" s="638"/>
      <c r="AL86" s="307">
        <f>IF(AI86=0,0,(AK86-AI86)/AI86*100)</f>
        <v>0</v>
      </c>
      <c r="AM86" s="74"/>
      <c r="AN86" s="74"/>
      <c r="AO86" s="74"/>
      <c r="AR86" s="1231" t="s">
        <v>1732</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1728</v>
      </c>
      <c r="D87" s="1258" t="s">
        <v>1729</v>
      </c>
      <c r="E87" s="794">
        <v>17.1</v>
      </c>
      <c r="F87" s="920" cm="1" t="str">
        <f t="array" ref="F87:F87">OFFSET(G87,-1,-1)</f>
        <v>0</v>
      </c>
      <c r="G87" s="736" t="s">
        <v>1733</v>
      </c>
      <c r="H87" s="190" cm="1" t="str">
        <f t="array" ref="H87:H87">G27</f>
        <v>0</v>
      </c>
      <c r="L87" s="1287"/>
      <c r="M87" s="1285" cm="1" t="str">
        <f t="array" ref="M87:M87">OFFSET(L87,-1,1)</f>
        <v>0</v>
      </c>
      <c r="N87" s="1287"/>
      <c r="O87" s="1287"/>
      <c r="P87" s="1287"/>
      <c r="Q87" s="1287"/>
      <c r="R87" s="1287"/>
      <c r="S87" s="1287" t="s">
        <v>1701</v>
      </c>
      <c r="T87" s="805">
        <f>AND(F87&gt;0,H87="двухставочный")</f>
        <v>0</v>
      </c>
      <c r="AB87" s="660" t="str">
        <f>AB85&amp;".2"</f>
        <v>12.2</v>
      </c>
      <c r="AC87" s="1347" t="s">
        <v>1734</v>
      </c>
      <c r="AD87" s="517" t="s">
        <v>889</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1735</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1736</v>
      </c>
      <c r="D88" s="1258" t="s">
        <v>1737</v>
      </c>
      <c r="E88" s="794">
        <v>17.1</v>
      </c>
      <c r="F88" s="920" cm="1" t="str">
        <f t="array" ref="F88:F88">OFFSET(G88,-1,-1)</f>
        <v>0</v>
      </c>
      <c r="H88" s="190" cm="1" t="str">
        <f t="array" ref="H88:H88">G27</f>
        <v>0</v>
      </c>
      <c r="L88" s="1287" t="s">
        <v>1890</v>
      </c>
      <c r="M88" s="1285" cm="1" t="str">
        <f t="array" ref="M88:M88">OFFSET(L88,-1,1)</f>
        <v>0</v>
      </c>
      <c r="N88" s="1287"/>
      <c r="O88" s="1287"/>
      <c r="P88" s="1287"/>
      <c r="Q88" s="1287"/>
      <c r="R88" s="1287"/>
      <c r="S88" s="1287"/>
      <c r="T88" s="805">
        <f>AND(F88&gt;0,H88="двухставочный")</f>
        <v>0</v>
      </c>
      <c r="AB88" s="660" t="str">
        <f>AB85&amp;".3"</f>
        <v>12.3</v>
      </c>
      <c r="AC88" s="312" t="s">
        <v>1739</v>
      </c>
      <c r="AD88" s="517" t="s">
        <v>485</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1740</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1668</v>
      </c>
      <c r="AC89" s="160" t="s">
        <v>1741</v>
      </c>
      <c r="AD89" s="619"/>
      <c r="AE89" s="735"/>
      <c r="AF89" s="613"/>
      <c r="AG89" s="613"/>
      <c r="AH89" s="613"/>
      <c r="AI89" s="735"/>
      <c r="AJ89" s="735"/>
      <c r="AK89" s="735"/>
      <c r="AL89" s="374"/>
      <c r="AM89" s="74"/>
      <c r="AN89" s="74"/>
      <c r="AO89" s="74"/>
      <c r="AR89" s="1231" t="s">
        <v>1742</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1743</v>
      </c>
      <c r="D90" s="1258" t="s">
        <v>1744</v>
      </c>
      <c r="E90" s="794">
        <v>17.1</v>
      </c>
      <c r="F90" s="920" cm="1" t="str">
        <f t="array" ref="F90:F90">OFFSET(G90,-1,-1)</f>
        <v>0</v>
      </c>
      <c r="G90" s="736" t="s">
        <v>1745</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1746</v>
      </c>
      <c r="AD90" s="517" t="s">
        <v>1747</v>
      </c>
      <c r="AE90" s="99"/>
      <c r="AF90" s="613"/>
      <c r="AG90" s="613"/>
      <c r="AH90" s="374"/>
      <c r="AI90" s="99"/>
      <c r="AJ90" s="308"/>
      <c r="AK90" s="308"/>
      <c r="AL90" s="307">
        <f>IF(AI90=0,0,(AK90-AI90)/AI90*100)</f>
        <v>0</v>
      </c>
      <c r="AM90" s="74"/>
      <c r="AN90" s="74"/>
      <c r="AO90" s="74"/>
      <c r="AR90" s="1231" t="s">
        <v>1748</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1743</v>
      </c>
      <c r="D91" s="1258" t="s">
        <v>1744</v>
      </c>
      <c r="E91" s="794">
        <v>17.1</v>
      </c>
      <c r="F91" s="920" cm="1" t="str">
        <f t="array" ref="F91:F91">OFFSET(G91,-1,-1)</f>
        <v>0</v>
      </c>
      <c r="G91" s="736" t="s">
        <v>1749</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1750</v>
      </c>
      <c r="AD91" s="517" t="s">
        <v>1747</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1751</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1736</v>
      </c>
      <c r="D92" s="1258" t="s">
        <v>1737</v>
      </c>
      <c r="E92" s="794">
        <v>17.1</v>
      </c>
      <c r="F92" s="920" cm="1" t="str">
        <f t="array" ref="F92:F92">OFFSET(G92,-1,-1)</f>
        <v>0</v>
      </c>
      <c r="H92" s="190" cm="1" t="str">
        <f t="array" ref="H92:H92">G27</f>
        <v>0</v>
      </c>
      <c r="L92" s="1287"/>
      <c r="M92" s="1285" cm="1" t="str">
        <f t="array" ref="M92:M92">OFFSET(L92,-1,1)</f>
        <v>0</v>
      </c>
      <c r="N92" s="1287"/>
      <c r="O92" s="1287"/>
      <c r="P92" s="1287"/>
      <c r="Q92" s="1287"/>
      <c r="R92" s="1287" t="s">
        <v>1752</v>
      </c>
      <c r="S92" s="1287"/>
      <c r="T92" s="805">
        <f>AND(F92&gt;0,H92="двухставочный")</f>
        <v>0</v>
      </c>
      <c r="AB92" s="660" t="str">
        <f>AB89&amp;".3"</f>
        <v>13.3</v>
      </c>
      <c r="AC92" s="312" t="s">
        <v>1753</v>
      </c>
      <c r="AD92" s="517" t="s">
        <v>485</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1754</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1755</v>
      </c>
      <c r="D93" s="1258" t="s">
        <v>1756</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1673</v>
      </c>
      <c r="AC93" s="1060" t="s">
        <v>1758</v>
      </c>
      <c r="AD93" s="577" t="s">
        <v>986</v>
      </c>
      <c r="AE93" s="99"/>
      <c r="AF93" s="122"/>
      <c r="AG93" s="122"/>
      <c r="AH93" s="307">
        <f>AG93-AF93</f>
        <v>0</v>
      </c>
      <c r="AI93" s="99"/>
      <c r="AJ93" s="308"/>
      <c r="AK93" s="308"/>
      <c r="AL93" s="307">
        <f>IF(AI93=0,0,(AK93-AI93)/AI93*100)</f>
        <v>0</v>
      </c>
      <c r="AM93" s="74"/>
      <c r="AN93" s="74"/>
      <c r="AO93" s="74"/>
      <c r="AR93" s="1231" t="s">
        <v>1759</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2"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36" t="s">
        <v>337</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4"/>
      <c r="AS94" s="1281"/>
    </row>
    <row s="1642" customFormat="1" customHeight="1" ht="33.75">
      <c r="A95" s="1184"/>
      <c r="B95" s="925"/>
      <c r="C95" s="1299" t="s">
        <v>1767</v>
      </c>
      <c r="D95" s="1258" t="s">
        <v>1768</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ТЭ.73.28136693.0002</v>
      </c>
      <c r="N95" s="1287"/>
      <c r="O95" s="1287"/>
      <c r="P95" s="1287"/>
      <c r="Q95" s="1287"/>
      <c r="R95" s="1287"/>
      <c r="S95" s="1287"/>
      <c r="T95" s="805" cm="1" t="str">
        <f t="array" ref="T95:T95">T94</f>
        <v>true</v>
      </c>
      <c r="U95" s="1437"/>
      <c r="V95" s="1437"/>
      <c r="W95" s="1437"/>
      <c r="X95" s="1437"/>
      <c r="Y95" s="1437"/>
      <c r="Z95" s="1437"/>
      <c r="AA95" s="227"/>
      <c r="AB95" s="987">
        <v>1</v>
      </c>
      <c r="AC95" s="988" t="s">
        <v>1769</v>
      </c>
      <c r="AD95" s="989" t="s">
        <v>986</v>
      </c>
      <c r="AE95" s="612">
        <f>AE96+AE97+AE98+AE101+AE102+AE103+AE104+AE105+AE107+AE108+AE109+AE110+AE111+AE112+AE113+AE114+AE115+AE116</f>
        <v>2250.23</v>
      </c>
      <c r="AF95" s="612">
        <f>AF96+AF97+AF98+AF101+AF102+AF103+AF104+AF105+AF107+AF108+AF109+AF110+AF111+AF112+AF113+AF114+AF115+AF116</f>
        <v>160838.55</v>
      </c>
      <c r="AG95" s="612">
        <f>AG96+AG97+AG98+AG101+AG102+AG103+AG104+AG105+AG107+AG108+AG109+AG110+AG111+AG112+AG113+AG114+AG115+AG116</f>
        <v>143192.55</v>
      </c>
      <c r="AH95" s="307">
        <f>AG95-AF95</f>
        <v>-17646</v>
      </c>
      <c r="AI95" s="612">
        <f>AI96+AI97+AI98+AI101+AI102+AI103+AI104+AI105+AI107+AI108+AI109+AI110+AI111+AI112+AI113+AI114+AI115+AI116</f>
        <v>2247.6</v>
      </c>
      <c r="AJ95" s="612">
        <f>AJ96+AJ97+AJ98+AJ101+AJ102+AJ103+AJ104+AJ105+AJ107+AJ108+AJ109+AJ110+AJ111+AJ112+AJ113+AJ114+AJ115+AJ116</f>
        <v>313150.37887</v>
      </c>
      <c r="AK95" s="612">
        <f>AK96+AK97+AK98+AK101+AK102+AK103+AK104+AK105+AK107+AK108+AK109+AK110+AK111+AK112+AK113+AK114+AK115+AK116</f>
        <v>-5257.47</v>
      </c>
      <c r="AL95" s="307">
        <f>IF(AI95=0,0,(AK95-AI95)/AI95*100)</f>
        <v>-333.914842498665</v>
      </c>
      <c r="AM95" s="1792"/>
      <c r="AN95" s="1792"/>
      <c r="AO95" s="1792"/>
      <c r="AP95" s="227"/>
      <c r="AQ95" s="227"/>
      <c r="AR95" s="1231" t="s">
        <v>1770</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M10558::ТЭ.73.28136693.0002::Неопределено::Неопределено::Неопределено::Неопределено::Неопределено::Неопределено::Неопределено</v>
      </c>
    </row>
    <row s="1642" customFormat="1" customHeight="1" ht="16.5">
      <c r="A96" s="1184"/>
      <c r="B96" s="925"/>
      <c r="C96" s="1299" t="s">
        <v>1767</v>
      </c>
      <c r="D96" s="1258" t="s">
        <v>1768</v>
      </c>
      <c r="E96" s="794">
        <v>17.1</v>
      </c>
      <c r="F96" s="920" cm="1" t="str">
        <f t="array" ref="F96:F96">OFFSET(G96,-1,-1)</f>
        <v>1</v>
      </c>
      <c r="G96" s="227"/>
      <c r="H96" s="227"/>
      <c r="I96" s="227"/>
      <c r="J96" s="227"/>
      <c r="K96" s="227"/>
      <c r="L96" s="1287" t="s">
        <v>1771</v>
      </c>
      <c r="M96" s="1285" cm="1" t="str">
        <f t="array" ref="M96:M96">OFFSET(L96,-1,1)</f>
        <v>ТЭ.73.28136693.0002</v>
      </c>
      <c r="N96" s="1287"/>
      <c r="O96" s="1287"/>
      <c r="P96" s="1287"/>
      <c r="Q96" s="1287"/>
      <c r="R96" s="1287"/>
      <c r="S96" s="1287"/>
      <c r="T96" s="805" cm="1" t="str">
        <f t="array" ref="T96:T96">T95</f>
        <v>true</v>
      </c>
      <c r="U96" s="1437"/>
      <c r="V96" s="1437"/>
      <c r="W96" s="1437"/>
      <c r="X96" s="1437"/>
      <c r="Y96" s="1437"/>
      <c r="Z96" s="1437"/>
      <c r="AA96" s="227"/>
      <c r="AB96" s="990" t="s">
        <v>436</v>
      </c>
      <c r="AC96" s="991" t="s">
        <v>1772</v>
      </c>
      <c r="AD96" s="992" t="s">
        <v>986</v>
      </c>
      <c r="AE96" s="1981"/>
      <c r="AF96" s="1981"/>
      <c r="AG96" s="1981"/>
      <c r="AH96" s="307">
        <f>AG96-AF96</f>
        <v>0</v>
      </c>
      <c r="AI96" s="1981"/>
      <c r="AJ96" s="614"/>
      <c r="AK96" s="614"/>
      <c r="AL96" s="307">
        <f>IF(AI96=0,0,(AK96-AI96)/AI96*100)</f>
        <v>0</v>
      </c>
      <c r="AM96" s="1792"/>
      <c r="AN96" s="1792"/>
      <c r="AO96" s="1792"/>
      <c r="AP96" s="227"/>
      <c r="AQ96" s="227"/>
      <c r="AR96" s="1231" t="s">
        <v>1263</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M10558::ТЭ.73.28136693.0002::1.0.64.::Неопределено::Неопределено::Неопределено::Неопределено::Неопределено::Неопределено</v>
      </c>
    </row>
    <row s="1642" customFormat="1" customHeight="1" ht="25.5">
      <c r="A97" s="1184"/>
      <c r="B97" s="925"/>
      <c r="C97" s="1299" t="s">
        <v>1767</v>
      </c>
      <c r="D97" s="1258" t="s">
        <v>1768</v>
      </c>
      <c r="E97" s="794">
        <v>26.3</v>
      </c>
      <c r="F97" s="920" cm="1" t="str">
        <f t="array" ref="F97:F97">OFFSET(G97,-1,-1)</f>
        <v>1</v>
      </c>
      <c r="G97" s="190" t="s">
        <v>1353</v>
      </c>
      <c r="H97" s="227"/>
      <c r="I97" s="227"/>
      <c r="J97" s="227"/>
      <c r="K97" s="227"/>
      <c r="L97" s="1287" t="s">
        <v>1773</v>
      </c>
      <c r="M97" s="1285" cm="1" t="str">
        <f t="array" ref="M97:M97">OFFSET(L97,-1,1)</f>
        <v>ТЭ.73.28136693.0002</v>
      </c>
      <c r="N97" s="1287"/>
      <c r="O97" s="1287"/>
      <c r="P97" s="1287"/>
      <c r="Q97" s="1287"/>
      <c r="R97" s="1287"/>
      <c r="S97" s="1287"/>
      <c r="T97" s="805" cm="1" t="str">
        <f t="array" ref="T97:T97">T96</f>
        <v>true</v>
      </c>
      <c r="U97" s="1437"/>
      <c r="V97" s="1437"/>
      <c r="W97" s="1437"/>
      <c r="X97" s="1437"/>
      <c r="Y97" s="1437"/>
      <c r="Z97" s="1437"/>
      <c r="AA97" s="227"/>
      <c r="AB97" s="990" t="s">
        <v>899</v>
      </c>
      <c r="AC97" s="991" t="s">
        <v>1354</v>
      </c>
      <c r="AD97" s="992" t="s">
        <v>986</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92"/>
      <c r="AN97" s="1792"/>
      <c r="AO97" s="1792"/>
      <c r="AP97" s="227"/>
      <c r="AQ97" s="227"/>
      <c r="AR97" s="1231" t="s">
        <v>1348</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M10558::ТЭ.73.28136693.0002::1.0.66.::Неопределено::Неопределено::Неопределено::Неопределено::Неопределено::Неопределено</v>
      </c>
    </row>
    <row s="1642" customFormat="1" customHeight="1" ht="16.5">
      <c r="A98" s="1184"/>
      <c r="B98" s="925"/>
      <c r="C98" s="1299" t="s">
        <v>1767</v>
      </c>
      <c r="D98" s="1258" t="s">
        <v>1768</v>
      </c>
      <c r="E98" s="794">
        <v>17.1</v>
      </c>
      <c r="F98" s="920" cm="1" t="str">
        <f t="array" ref="F98:F98">OFFSET(G98,-1,-1)</f>
        <v>1</v>
      </c>
      <c r="G98" s="227"/>
      <c r="H98" s="227"/>
      <c r="I98" s="227"/>
      <c r="J98" s="227"/>
      <c r="K98" s="227"/>
      <c r="L98" s="1287" t="s">
        <v>1774</v>
      </c>
      <c r="M98" s="1285" cm="1" t="str">
        <f t="array" ref="M98:M98">OFFSET(L98,-1,1)</f>
        <v>ТЭ.73.28136693.0002</v>
      </c>
      <c r="N98" s="1287"/>
      <c r="O98" s="1287"/>
      <c r="P98" s="1287"/>
      <c r="Q98" s="1287"/>
      <c r="R98" s="1287"/>
      <c r="S98" s="1287"/>
      <c r="T98" s="805" cm="1" t="str">
        <f t="array" ref="T98:T98">T97</f>
        <v>true</v>
      </c>
      <c r="U98" s="1437"/>
      <c r="V98" s="1437"/>
      <c r="W98" s="1437"/>
      <c r="X98" s="1437"/>
      <c r="Y98" s="1437"/>
      <c r="Z98" s="1437"/>
      <c r="AA98" s="227"/>
      <c r="AB98" s="990" t="s">
        <v>901</v>
      </c>
      <c r="AC98" s="991" t="s">
        <v>39</v>
      </c>
      <c r="AD98" s="992" t="s">
        <v>986</v>
      </c>
      <c r="AE98" s="612">
        <f>SUM(AE99:AE100)</f>
        <v>0</v>
      </c>
      <c r="AF98" s="612">
        <f>SUM(AF99:AF100)</f>
        <v>140942.32</v>
      </c>
      <c r="AG98" s="612">
        <f>SUM(AG99:AG100)</f>
        <v>140942.32</v>
      </c>
      <c r="AH98" s="307">
        <f>AG98-AF98</f>
        <v>0</v>
      </c>
      <c r="AI98" s="612">
        <f>SUM(AI99:AI100)</f>
        <v>0</v>
      </c>
      <c r="AJ98" s="612">
        <f>SUM(AJ99:AJ100)</f>
        <v>297312.05</v>
      </c>
      <c r="AK98" s="612">
        <f>SUM(AK99:AK100)</f>
        <v>0</v>
      </c>
      <c r="AL98" s="307">
        <f>IF(AI98=0,0,(AK98-AI98)/AI98*100)</f>
        <v>0</v>
      </c>
      <c r="AM98" s="1792"/>
      <c r="AN98" s="1792"/>
      <c r="AO98" s="1792"/>
      <c r="AP98" s="227"/>
      <c r="AQ98" s="227"/>
      <c r="AR98" s="1231" t="s">
        <v>1775</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M10558::ТЭ.73.28136693.0002::1.0.69.::Неопределено::Неопределено::Неопределено::Неопределено::Неопределено::Неопределено</v>
      </c>
    </row>
    <row s="1642" customFormat="1" customHeight="1" ht="16.5">
      <c r="A99" s="1184"/>
      <c r="B99" s="925"/>
      <c r="C99" s="1299" t="s">
        <v>1767</v>
      </c>
      <c r="D99" s="1258" t="s">
        <v>1768</v>
      </c>
      <c r="E99" s="794">
        <v>17.1</v>
      </c>
      <c r="F99" s="920" cm="1" t="str">
        <f t="array" ref="F99:F99">OFFSET(G99,-1,-1)</f>
        <v>1</v>
      </c>
      <c r="G99" s="190" t="s">
        <v>893</v>
      </c>
      <c r="H99" s="227"/>
      <c r="I99" s="227"/>
      <c r="J99" s="227"/>
      <c r="K99" s="227"/>
      <c r="L99" s="1287" t="s">
        <v>1776</v>
      </c>
      <c r="M99" s="1285" cm="1" t="str">
        <f t="array" ref="M99:M99">OFFSET(L99,-1,1)</f>
        <v>ТЭ.73.28136693.0002</v>
      </c>
      <c r="N99" s="1287"/>
      <c r="O99" s="1287"/>
      <c r="P99" s="1287"/>
      <c r="Q99" s="1287"/>
      <c r="R99" s="1287"/>
      <c r="S99" s="1287"/>
      <c r="T99" s="805" cm="1" t="str">
        <f t="array" ref="T99:T99">T98</f>
        <v>true</v>
      </c>
      <c r="U99" s="1437"/>
      <c r="V99" s="1437"/>
      <c r="W99" s="1437"/>
      <c r="X99" s="1437"/>
      <c r="Y99" s="1437"/>
      <c r="Z99" s="1437"/>
      <c r="AA99" s="227"/>
      <c r="AB99" s="990" t="s">
        <v>1132</v>
      </c>
      <c r="AC99" s="682" t="s">
        <v>1777</v>
      </c>
      <c r="AD99" s="992" t="s">
        <v>986</v>
      </c>
      <c r="AE99" s="307">
        <f>_xlfn.SUMIFS(ЭнергоРесурсы!AE$26:AE$113,ЭнергоРесурсы!$F$26:$F$113,$F99,ЭнергоРесурсы!$G$26:$G$113,$G99)</f>
        <v>0</v>
      </c>
      <c r="AF99" s="307">
        <f>_xlfn.SUMIFS(ЭнергоРесурсы!AF$26:AF$113,ЭнергоРесурсы!$F$26:$F$113,$F99,ЭнергоРесурсы!$G$26:$G$113,$G99)</f>
        <v>0</v>
      </c>
      <c r="AG99" s="307">
        <f>_xlfn.SUMIFS(ЭнергоРесурсы!AG$26:AG$113,ЭнергоРесурсы!$F$26:$F$113,$F99,ЭнергоРесурсы!$G$26:$G$113,$G99)</f>
        <v>0</v>
      </c>
      <c r="AH99" s="307">
        <f>AG99-AF99</f>
        <v>0</v>
      </c>
      <c r="AI99" s="307">
        <f>_xlfn.SUMIFS(ЭнергоРесурсы!AH$26:AH$113,ЭнергоРесурсы!$F$26:$F$113,$F99,ЭнергоРесурсы!$G$26:$G$113,$G99)</f>
        <v>0</v>
      </c>
      <c r="AJ99" s="307">
        <f>_xlfn.SUMIFS(ЭнергоРесурсы!AI$26:AI$113,ЭнергоРесурсы!$F$26:$F$113,$F99,ЭнергоРесурсы!$G$26:$G$113,$G99)</f>
        <v>0</v>
      </c>
      <c r="AK99" s="307">
        <f>_xlfn.SUMIFS(ЭнергоРесурсы!AS$26:AS$113,ЭнергоРесурсы!$F$26:$F$113,$F99,ЭнергоРесурсы!$G$26:$G$113,$G99)</f>
        <v>0</v>
      </c>
      <c r="AL99" s="307">
        <f>IF(AI99=0,0,(AK99-AI99)/AI99*100)</f>
        <v>0</v>
      </c>
      <c r="AM99" s="1792"/>
      <c r="AN99" s="1792"/>
      <c r="AO99" s="1792"/>
      <c r="AP99" s="227"/>
      <c r="AQ99" s="227"/>
      <c r="AR99" s="1231" t="s">
        <v>1778</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M10558::ТЭ.73.28136693.0002::1.0.82.::Неопределено::Неопределено::Неопределено::Неопределено::Неопределено::Неопределено</v>
      </c>
    </row>
    <row s="1642" customFormat="1" customHeight="1" ht="16.5">
      <c r="A100" s="1184"/>
      <c r="B100" s="925"/>
      <c r="C100" s="1299" t="s">
        <v>1767</v>
      </c>
      <c r="D100" s="1258" t="s">
        <v>1768</v>
      </c>
      <c r="E100" s="794">
        <v>17.1</v>
      </c>
      <c r="F100" s="920" cm="1" t="str">
        <f t="array" ref="F100:F100">OFFSET(G100,-1,-1)</f>
        <v>1</v>
      </c>
      <c r="G100" s="190" t="s">
        <v>928</v>
      </c>
      <c r="H100" s="227"/>
      <c r="I100" s="227"/>
      <c r="J100" s="227"/>
      <c r="K100" s="227"/>
      <c r="L100" s="1287" t="s">
        <v>1779</v>
      </c>
      <c r="M100" s="1285" cm="1" t="str">
        <f t="array" ref="M100:M100">OFFSET(L100,-1,1)</f>
        <v>ТЭ.73.28136693.0002</v>
      </c>
      <c r="N100" s="1287"/>
      <c r="O100" s="1287"/>
      <c r="P100" s="1287"/>
      <c r="Q100" s="1287"/>
      <c r="R100" s="1287"/>
      <c r="S100" s="1287"/>
      <c r="T100" s="805" cm="1" t="str">
        <f t="array" ref="T100:T100">T99</f>
        <v>true</v>
      </c>
      <c r="U100" s="1437"/>
      <c r="V100" s="1437"/>
      <c r="W100" s="1437"/>
      <c r="X100" s="1437"/>
      <c r="Y100" s="1437"/>
      <c r="Z100" s="1437"/>
      <c r="AA100" s="227"/>
      <c r="AB100" s="990" t="s">
        <v>1136</v>
      </c>
      <c r="AC100" s="682" t="s">
        <v>1780</v>
      </c>
      <c r="AD100" s="992" t="s">
        <v>986</v>
      </c>
      <c r="AE100" s="307">
        <f>_xlfn.SUMIFS(ЭнергоРесурсы!AE$26:AE$113,ЭнергоРесурсы!$F$26:$F$113,$F100,ЭнергоРесурсы!$G$26:$G$113,$G100)</f>
        <v>0</v>
      </c>
      <c r="AF100" s="307">
        <f>_xlfn.SUMIFS(ЭнергоРесурсы!AF$26:AF$113,ЭнергоРесурсы!$F$26:$F$113,$F100,ЭнергоРесурсы!$G$26:$G$113,$G100)</f>
        <v>140942.32</v>
      </c>
      <c r="AG100" s="307">
        <f>_xlfn.SUMIFS(ЭнергоРесурсы!AG$26:AG$113,ЭнергоРесурсы!$F$26:$F$113,$F100,ЭнергоРесурсы!$G$26:$G$113,$G100)</f>
        <v>140942.32</v>
      </c>
      <c r="AH100" s="307">
        <f>AG100-AF100</f>
        <v>0</v>
      </c>
      <c r="AI100" s="307">
        <f>_xlfn.SUMIFS(ЭнергоРесурсы!AH$26:AH$113,ЭнергоРесурсы!$F$26:$F$113,$F100,ЭнергоРесурсы!$G$26:$G$113,$G100)</f>
        <v>0</v>
      </c>
      <c r="AJ100" s="307">
        <f>_xlfn.SUMIFS(ЭнергоРесурсы!AI$26:AI$113,ЭнергоРесурсы!$F$26:$F$113,$F100,ЭнергоРесурсы!$G$26:$G$113,$G100)</f>
        <v>297312.05</v>
      </c>
      <c r="AK100" s="307">
        <f>_xlfn.SUMIFS(ЭнергоРесурсы!AS$26:AS$113,ЭнергоРесурсы!$F$26:$F$113,$F100,ЭнергоРесурсы!$G$26:$G$113,$G100)</f>
        <v>0</v>
      </c>
      <c r="AL100" s="307">
        <f>IF(AI100=0,0,(AK100-AI100)/AI100*100)</f>
        <v>0</v>
      </c>
      <c r="AM100" s="1792"/>
      <c r="AN100" s="1792"/>
      <c r="AO100" s="1792"/>
      <c r="AP100" s="227"/>
      <c r="AQ100" s="227"/>
      <c r="AR100" s="1231" t="s">
        <v>1781</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M10558::ТЭ.73.28136693.0002::1.0.80.::Неопределено::Неопределено::Неопределено::Неопределено::Неопределено::Неопределено</v>
      </c>
    </row>
    <row s="1642" customFormat="1" customHeight="1" ht="16.5">
      <c r="A101" s="1184"/>
      <c r="B101" s="925"/>
      <c r="C101" s="1299" t="s">
        <v>1767</v>
      </c>
      <c r="D101" s="1258" t="s">
        <v>1768</v>
      </c>
      <c r="E101" s="794">
        <v>17.1</v>
      </c>
      <c r="F101" s="920" cm="1" t="str">
        <f t="array" ref="F101:F101">OFFSET(G101,-1,-1)</f>
        <v>1</v>
      </c>
      <c r="G101" s="190" t="s">
        <v>960</v>
      </c>
      <c r="H101" s="227"/>
      <c r="I101" s="227"/>
      <c r="J101" s="227"/>
      <c r="K101" s="227"/>
      <c r="L101" s="1287" t="s">
        <v>1782</v>
      </c>
      <c r="M101" s="1285" cm="1" t="str">
        <f t="array" ref="M101:M101">OFFSET(L101,-1,1)</f>
        <v>ТЭ.73.28136693.0002</v>
      </c>
      <c r="N101" s="1287"/>
      <c r="O101" s="1287"/>
      <c r="P101" s="1287"/>
      <c r="Q101" s="1287"/>
      <c r="R101" s="1287"/>
      <c r="S101" s="1287"/>
      <c r="T101" s="805" cm="1" t="str">
        <f t="array" ref="T101:T101">T100</f>
        <v>true</v>
      </c>
      <c r="U101" s="1437"/>
      <c r="V101" s="1437"/>
      <c r="W101" s="1437"/>
      <c r="X101" s="1437"/>
      <c r="Y101" s="1437"/>
      <c r="Z101" s="1437"/>
      <c r="AA101" s="227"/>
      <c r="AB101" s="990" t="s">
        <v>905</v>
      </c>
      <c r="AC101" s="991" t="s">
        <v>961</v>
      </c>
      <c r="AD101" s="992" t="s">
        <v>986</v>
      </c>
      <c r="AE101" s="547">
        <f>_xlfn.SUMIFS('ХВС, ТН'!AE$26:AE$53,'ХВС, ТН'!$F$26:$F$53,$F101,'ХВС, ТН'!$G$26:$G$53,$G101)</f>
        <v>0</v>
      </c>
      <c r="AF101" s="547">
        <f>_xlfn.SUMIFS('ХВС, ТН'!AF$26:AF$53,'ХВС, ТН'!$F$26:$F$53,$F101,'ХВС, ТН'!$G$26:$G$53,$G101)</f>
        <v>0</v>
      </c>
      <c r="AG101" s="547">
        <f>_xlfn.SUMIFS('ХВС, ТН'!AG$26:AG$53,'ХВС, ТН'!$F$26:$F$53,$F101,'ХВС, ТН'!$G$26:$G$53,$G101)</f>
        <v>0</v>
      </c>
      <c r="AH101" s="307">
        <f>AG101-AF101</f>
        <v>0</v>
      </c>
      <c r="AI101" s="547">
        <f>_xlfn.SUMIFS('ХВС, ТН'!AH$26:AH$53,'ХВС, ТН'!$F$26:$F$53,$F101,'ХВС, ТН'!$G$26:$G$53,$G101)</f>
        <v>0</v>
      </c>
      <c r="AJ101" s="547">
        <f>_xlfn.SUMIFS('ХВС, ТН'!AI$26:AI$53,'ХВС, ТН'!$F$26:$F$53,$F101,'ХВС, ТН'!$G$26:$G$53,$G101)</f>
        <v>0</v>
      </c>
      <c r="AK101" s="547">
        <f>_xlfn.SUMIFS('ХВС, ТН'!AS$26:AS$53,'ХВС, ТН'!$F$26:$F$53,$F101,'ХВС, ТН'!$G$26:$G$53,$G101)</f>
        <v>0</v>
      </c>
      <c r="AL101" s="307">
        <f>IF(AI101=0,0,(AK101-AI101)/AI101*100)</f>
        <v>0</v>
      </c>
      <c r="AM101" s="1792"/>
      <c r="AN101" s="1792"/>
      <c r="AO101" s="1792"/>
      <c r="AP101" s="227"/>
      <c r="AQ101" s="227"/>
      <c r="AR101" s="1231" t="s">
        <v>1358</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M10558::ТЭ.73.28136693.0002::1.0.86.::Неопределено::Неопределено::Неопределено::Неопределено::Неопределено::Неопределено</v>
      </c>
    </row>
    <row s="1642" customFormat="1" customHeight="1" ht="16.5">
      <c r="A102" s="1184"/>
      <c r="B102" s="925"/>
      <c r="C102" s="1299" t="s">
        <v>1767</v>
      </c>
      <c r="D102" s="1258" t="s">
        <v>1768</v>
      </c>
      <c r="E102" s="794">
        <v>17.1</v>
      </c>
      <c r="F102" s="920" cm="1" t="str">
        <f t="array" ref="F102:F102">OFFSET(G102,-1,-1)</f>
        <v>1</v>
      </c>
      <c r="G102" s="190" t="s">
        <v>971</v>
      </c>
      <c r="H102" s="227"/>
      <c r="I102" s="227"/>
      <c r="J102" s="227"/>
      <c r="K102" s="227"/>
      <c r="L102" s="1287" t="s">
        <v>1783</v>
      </c>
      <c r="M102" s="1285" cm="1" t="str">
        <f t="array" ref="M102:M102">OFFSET(L102,-1,1)</f>
        <v>ТЭ.73.28136693.0002</v>
      </c>
      <c r="N102" s="1287"/>
      <c r="O102" s="1287"/>
      <c r="P102" s="1287"/>
      <c r="Q102" s="1287"/>
      <c r="R102" s="1287"/>
      <c r="S102" s="1287"/>
      <c r="T102" s="805" cm="1" t="str">
        <f t="array" ref="T102:T102">T101</f>
        <v>true</v>
      </c>
      <c r="U102" s="1437"/>
      <c r="V102" s="1437"/>
      <c r="W102" s="1437"/>
      <c r="X102" s="1437"/>
      <c r="Y102" s="1437"/>
      <c r="Z102" s="1437"/>
      <c r="AA102" s="227"/>
      <c r="AB102" s="990" t="s">
        <v>1009</v>
      </c>
      <c r="AC102" s="991" t="s">
        <v>972</v>
      </c>
      <c r="AD102" s="992" t="s">
        <v>986</v>
      </c>
      <c r="AE102" s="547">
        <f>_xlfn.SUMIFS('ХВС, ТН'!AE$26:AE$53,'ХВС, ТН'!$F$26:$F$53,$F102,'ХВС, ТН'!$G$26:$G$53,$G102)</f>
        <v>0</v>
      </c>
      <c r="AF102" s="547">
        <f>_xlfn.SUMIFS('ХВС, ТН'!AF$26:AF$53,'ХВС, ТН'!$F$26:$F$53,$F102,'ХВС, ТН'!$G$26:$G$53,$G102)</f>
        <v>0</v>
      </c>
      <c r="AG102" s="547">
        <f>_xlfn.SUMIFS('ХВС, ТН'!AG$26:AG$53,'ХВС, ТН'!$F$26:$F$53,$F102,'ХВС, ТН'!$G$26:$G$53,$G102)</f>
        <v>0</v>
      </c>
      <c r="AH102" s="307">
        <f>AG102-AF102</f>
        <v>0</v>
      </c>
      <c r="AI102" s="547">
        <f>_xlfn.SUMIFS('ХВС, ТН'!AH$26:AH$53,'ХВС, ТН'!$F$26:$F$53,$F102,'ХВС, ТН'!$G$26:$G$53,$G102)</f>
        <v>0</v>
      </c>
      <c r="AJ102" s="547">
        <f>_xlfn.SUMIFS('ХВС, ТН'!AI$26:AI$53,'ХВС, ТН'!$F$26:$F$53,$F102,'ХВС, ТН'!$G$26:$G$53,$G102)</f>
        <v>0</v>
      </c>
      <c r="AK102" s="547">
        <f>_xlfn.SUMIFS('ХВС, ТН'!AS$26:AS$53,'ХВС, ТН'!$F$26:$F$53,$F102,'ХВС, ТН'!$G$26:$G$53,$G102)</f>
        <v>0</v>
      </c>
      <c r="AL102" s="307">
        <f>IF(AI102=0,0,(AK102-AI102)/AI102*100)</f>
        <v>0</v>
      </c>
      <c r="AM102" s="1792"/>
      <c r="AN102" s="1792"/>
      <c r="AO102" s="1792"/>
      <c r="AP102" s="227"/>
      <c r="AQ102" s="227"/>
      <c r="AR102" s="1231" t="s">
        <v>1359</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M10558::ТЭ.73.28136693.0002::1.0.88.::Неопределено::Неопределено::Неопределено::Неопределено::Неопределено::Неопределено</v>
      </c>
    </row>
    <row s="1642" customFormat="1" customHeight="1" ht="16.5">
      <c r="A103" s="1184"/>
      <c r="B103" s="925"/>
      <c r="C103" s="1299" t="s">
        <v>1767</v>
      </c>
      <c r="D103" s="1258" t="s">
        <v>1768</v>
      </c>
      <c r="E103" s="794">
        <v>17.1</v>
      </c>
      <c r="F103" s="920" cm="1" t="str">
        <f t="array" ref="F103:F103">OFFSET(G103,-1,-1)</f>
        <v>1</v>
      </c>
      <c r="G103" s="190" t="s">
        <v>1096</v>
      </c>
      <c r="H103" s="227"/>
      <c r="I103" s="227"/>
      <c r="J103" s="227"/>
      <c r="K103" s="227"/>
      <c r="L103" s="1287" t="s">
        <v>1784</v>
      </c>
      <c r="M103" s="1285" cm="1" t="str">
        <f t="array" ref="M103:M103">OFFSET(L103,-1,1)</f>
        <v>ТЭ.73.28136693.0002</v>
      </c>
      <c r="N103" s="1287"/>
      <c r="O103" s="1287"/>
      <c r="P103" s="1287"/>
      <c r="Q103" s="1287"/>
      <c r="R103" s="1287"/>
      <c r="S103" s="1287"/>
      <c r="T103" s="805" cm="1" t="str">
        <f t="array" ref="T103:T103">T102</f>
        <v>true</v>
      </c>
      <c r="U103" s="1437"/>
      <c r="V103" s="1437"/>
      <c r="W103" s="1437"/>
      <c r="X103" s="1437"/>
      <c r="Y103" s="1437"/>
      <c r="Z103" s="1437"/>
      <c r="AA103" s="227"/>
      <c r="AB103" s="990" t="s">
        <v>1012</v>
      </c>
      <c r="AC103" s="991" t="s">
        <v>1337</v>
      </c>
      <c r="AD103" s="992" t="s">
        <v>986</v>
      </c>
      <c r="AE103" s="612">
        <f>_xlfn.SUMIFS(Амортизация!AE$26:AE$225,Амортизация!$F$26:$F$225,$F103,Амортизация!$G$26:$G$225,$G103)</f>
        <v>2250.23</v>
      </c>
      <c r="AF103" s="612">
        <f>_xlfn.SUMIFS(Амортизация!AF$26:AF$225,Амортизация!$F$26:$F$225,$F103,Амортизация!$G$26:$G$225,$G103)</f>
        <v>18621.95</v>
      </c>
      <c r="AG103" s="612">
        <f>_xlfn.SUMIFS(Амортизация!AG$26:AG$225,Амортизация!$F$26:$F$225,$F103,Амортизация!$G$26:$G$225,$G103)</f>
        <v>2250.23</v>
      </c>
      <c r="AH103" s="307">
        <f>AG103-AF103</f>
        <v>-16371.72</v>
      </c>
      <c r="AI103" s="612">
        <f>_xlfn.SUMIFS(Амортизация!AH$26:AH$225,Амортизация!$F$26:$F$225,$F103,Амортизация!$G$26:$G$225,$G103)</f>
        <v>2247.6</v>
      </c>
      <c r="AJ103" s="612">
        <f>_xlfn.SUMIFS(Амортизация!AI$26:AI$225,Амортизация!$F$26:$F$225,$F103,Амортизация!$G$26:$G$225,$G103)</f>
        <v>6278.18886999999</v>
      </c>
      <c r="AK103" s="612">
        <f>_xlfn.SUMIFS(Амортизация!AS$26:AS$225,Амортизация!$F$26:$F$225,$F103,Амортизация!$G$26:$G$225,$G103)</f>
        <v>2238.53</v>
      </c>
      <c r="AL103" s="307">
        <f>IF(AI103=0,0,(AK103-AI103)/AI103*100)</f>
        <v>-0.403541555436898</v>
      </c>
      <c r="AM103" s="1792"/>
      <c r="AN103" s="1792"/>
      <c r="AO103" s="1792"/>
      <c r="AP103" s="227"/>
      <c r="AQ103" s="227"/>
      <c r="AR103" s="1231" t="s">
        <v>1338</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M10558::ТЭ.73.28136693.0002::1.0.2.::Неопределено::Неопределено::Неопределено::Неопределено::Неопределено::Неопределено</v>
      </c>
    </row>
    <row s="1642" customFormat="1" customHeight="1" ht="16.5">
      <c r="A104" s="1184"/>
      <c r="B104" s="925"/>
      <c r="C104" s="1299" t="s">
        <v>1767</v>
      </c>
      <c r="D104" s="1258" t="s">
        <v>1768</v>
      </c>
      <c r="E104" s="794">
        <v>17.1</v>
      </c>
      <c r="F104" s="920" cm="1" t="str">
        <f t="array" ref="F104:F104">OFFSET(G104,-1,-1)</f>
        <v>1</v>
      </c>
      <c r="G104" s="190" t="s">
        <v>48</v>
      </c>
      <c r="H104" s="227"/>
      <c r="I104" s="227"/>
      <c r="J104" s="227"/>
      <c r="K104" s="227"/>
      <c r="L104" s="1287" t="s">
        <v>1785</v>
      </c>
      <c r="M104" s="1285" cm="1" t="str">
        <f t="array" ref="M104:M104">OFFSET(L104,-1,1)</f>
        <v>ТЭ.73.28136693.0002</v>
      </c>
      <c r="N104" s="1287"/>
      <c r="O104" s="1287"/>
      <c r="P104" s="1287"/>
      <c r="Q104" s="1287"/>
      <c r="R104" s="1287"/>
      <c r="S104" s="1287"/>
      <c r="T104" s="805" cm="1" t="str">
        <f t="array" ref="T104:T104">T103</f>
        <v>true</v>
      </c>
      <c r="U104" s="1437"/>
      <c r="V104" s="1437"/>
      <c r="W104" s="1437"/>
      <c r="X104" s="1437"/>
      <c r="Y104" s="1437"/>
      <c r="Z104" s="1437"/>
      <c r="AA104" s="227"/>
      <c r="AB104" s="990" t="s">
        <v>1015</v>
      </c>
      <c r="AC104" s="991" t="s">
        <v>1786</v>
      </c>
      <c r="AD104" s="992" t="s">
        <v>986</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92"/>
      <c r="AN104" s="1792"/>
      <c r="AO104" s="1792"/>
      <c r="AP104" s="227"/>
      <c r="AQ104" s="227"/>
      <c r="AR104" s="1231" t="s">
        <v>1266</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M10558::ТЭ.73.28136693.0002::1.0.15.::Неопределено::Неопределено::Неопределено::Неопределено::Неопределено::Неопределено</v>
      </c>
    </row>
    <row s="1642" customFormat="1" customHeight="1" ht="16.5">
      <c r="A105" s="1184"/>
      <c r="B105" s="925"/>
      <c r="C105" s="1299" t="s">
        <v>1767</v>
      </c>
      <c r="D105" s="1258" t="s">
        <v>1768</v>
      </c>
      <c r="E105" s="794">
        <v>17.1</v>
      </c>
      <c r="F105" s="920" cm="1" t="str">
        <f t="array" ref="F105:F105">OFFSET(G105,-1,-1)</f>
        <v>1</v>
      </c>
      <c r="G105" s="227"/>
      <c r="H105" s="227"/>
      <c r="I105" s="227"/>
      <c r="J105" s="227"/>
      <c r="K105" s="227"/>
      <c r="L105" s="1287" t="s">
        <v>1787</v>
      </c>
      <c r="M105" s="1285" cm="1" t="str">
        <f t="array" ref="M105:M105">OFFSET(L105,-1,1)</f>
        <v>ТЭ.73.28136693.0002</v>
      </c>
      <c r="N105" s="1287"/>
      <c r="O105" s="1287"/>
      <c r="P105" s="1287"/>
      <c r="Q105" s="1287"/>
      <c r="R105" s="1287"/>
      <c r="S105" s="1287"/>
      <c r="T105" s="805" cm="1" t="str">
        <f t="array" ref="T105:T105">T104</f>
        <v>true</v>
      </c>
      <c r="U105" s="1437"/>
      <c r="V105" s="1437"/>
      <c r="W105" s="1437"/>
      <c r="X105" s="1437"/>
      <c r="Y105" s="1437"/>
      <c r="Z105" s="1437"/>
      <c r="AA105" s="227"/>
      <c r="AB105" s="990" t="s">
        <v>1018</v>
      </c>
      <c r="AC105" s="991" t="s">
        <v>1330</v>
      </c>
      <c r="AD105" s="992" t="s">
        <v>986</v>
      </c>
      <c r="AE105" s="1981"/>
      <c r="AF105" s="1981"/>
      <c r="AG105" s="1981"/>
      <c r="AH105" s="307">
        <f>AG105-AF105</f>
        <v>0</v>
      </c>
      <c r="AI105" s="1981"/>
      <c r="AJ105" s="614"/>
      <c r="AK105" s="614"/>
      <c r="AL105" s="307">
        <f>IF(AI105=0,0,(AK105-AI105)/AI105*100)</f>
        <v>0</v>
      </c>
      <c r="AM105" s="1792"/>
      <c r="AN105" s="1792"/>
      <c r="AO105" s="1792"/>
      <c r="AP105" s="227"/>
      <c r="AQ105" s="227"/>
      <c r="AR105" s="1231" t="s">
        <v>1331</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M10558::ТЭ.73.28136693.0002::1.0.85.::Неопределено::Неопределено::Неопределено::Неопределено::Неопределено::Неопределено</v>
      </c>
    </row>
    <row s="1642" customFormat="1" customHeight="1" ht="16.5">
      <c r="A106" s="1184"/>
      <c r="B106" s="925"/>
      <c r="C106" s="1299" t="s">
        <v>1788</v>
      </c>
      <c r="D106" s="1258" t="s">
        <v>1789</v>
      </c>
      <c r="E106" s="794">
        <v>17.1</v>
      </c>
      <c r="F106" s="920" cm="1" t="str">
        <f t="array" ref="F106:F106">OFFSET(G106,-1,-1)</f>
        <v>1</v>
      </c>
      <c r="G106" s="227"/>
      <c r="H106" s="227"/>
      <c r="I106" s="227"/>
      <c r="J106" s="227"/>
      <c r="K106" s="227"/>
      <c r="L106" s="1287" t="s">
        <v>1790</v>
      </c>
      <c r="M106" s="1285" cm="1" t="str">
        <f t="array" ref="M106:M106">OFFSET(L106,-1,1)</f>
        <v>ТЭ.73.28136693.0002</v>
      </c>
      <c r="N106" s="1287"/>
      <c r="O106" s="1287"/>
      <c r="P106" s="1287"/>
      <c r="Q106" s="1287"/>
      <c r="R106" s="1287"/>
      <c r="S106" s="1287"/>
      <c r="T106" s="805" cm="1" t="str">
        <f t="array" ref="T106:T106">T105</f>
        <v>true</v>
      </c>
      <c r="U106" s="1437"/>
      <c r="V106" s="1437"/>
      <c r="W106" s="1437"/>
      <c r="X106" s="1437"/>
      <c r="Y106" s="1437"/>
      <c r="Z106" s="1437"/>
      <c r="AA106" s="227"/>
      <c r="AB106" s="990" t="s">
        <v>1791</v>
      </c>
      <c r="AC106" s="682" t="s">
        <v>1792</v>
      </c>
      <c r="AD106" s="992" t="s">
        <v>485</v>
      </c>
      <c r="AE106" s="1981"/>
      <c r="AF106" s="1981"/>
      <c r="AG106" s="1981"/>
      <c r="AH106" s="307">
        <f>AG106-AF106</f>
        <v>0</v>
      </c>
      <c r="AI106" s="1981"/>
      <c r="AJ106" s="614"/>
      <c r="AK106" s="614"/>
      <c r="AL106" s="307">
        <f>IF(AI106=0,0,(AK106-AI106)/AI106*100)</f>
        <v>0</v>
      </c>
      <c r="AM106" s="1792"/>
      <c r="AN106" s="1792"/>
      <c r="AO106" s="1792"/>
      <c r="AP106" s="227"/>
      <c r="AQ106" s="227"/>
      <c r="AR106" s="1231" t="s">
        <v>1328</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M10532::ТЭ.73.28136693.0002::1.0.76.::Неопределено::Неопределено::Неопределено::Неопределено::Неопределено::Неопределено</v>
      </c>
    </row>
    <row s="1642" customFormat="1" customHeight="1" ht="16.5">
      <c r="A107" s="1184"/>
      <c r="B107" s="925"/>
      <c r="C107" s="1299" t="s">
        <v>1793</v>
      </c>
      <c r="D107" s="1258" t="s">
        <v>1794</v>
      </c>
      <c r="E107" s="794">
        <v>17.1</v>
      </c>
      <c r="F107" s="920" cm="1" t="str">
        <f t="array" ref="F107:F107">OFFSET(G107,-1,-1)</f>
        <v>1</v>
      </c>
      <c r="G107" s="227"/>
      <c r="H107" s="227"/>
      <c r="I107" s="227"/>
      <c r="J107" s="227"/>
      <c r="K107" s="227"/>
      <c r="L107" s="1287"/>
      <c r="M107" s="1285" cm="1" t="str">
        <f t="array" ref="M107:M107">OFFSET(L107,-1,1)</f>
        <v>ТЭ.73.28136693.0002</v>
      </c>
      <c r="N107" s="1287" t="s">
        <v>1795</v>
      </c>
      <c r="O107" s="1287"/>
      <c r="P107" s="1287"/>
      <c r="Q107" s="1287"/>
      <c r="R107" s="1287"/>
      <c r="S107" s="1287"/>
      <c r="T107" s="805" cm="1" t="str">
        <f t="array" ref="T107:T107">T106</f>
        <v>true</v>
      </c>
      <c r="U107" s="1437"/>
      <c r="V107" s="1437"/>
      <c r="W107" s="1437"/>
      <c r="X107" s="1437"/>
      <c r="Y107" s="1437"/>
      <c r="Z107" s="1437"/>
      <c r="AA107" s="227"/>
      <c r="AB107" s="990" t="s">
        <v>1231</v>
      </c>
      <c r="AC107" s="991" t="s">
        <v>1796</v>
      </c>
      <c r="AD107" s="992" t="s">
        <v>986</v>
      </c>
      <c r="AE107" s="1981"/>
      <c r="AF107" s="1981"/>
      <c r="AG107" s="1981"/>
      <c r="AH107" s="307">
        <f>AG107-AF107</f>
        <v>0</v>
      </c>
      <c r="AI107" s="1981"/>
      <c r="AJ107" s="614"/>
      <c r="AK107" s="614"/>
      <c r="AL107" s="307">
        <f>IF(AI107=0,0,(AK107-AI107)/AI107*100)</f>
        <v>0</v>
      </c>
      <c r="AM107" s="1792"/>
      <c r="AN107" s="1792"/>
      <c r="AO107" s="1792"/>
      <c r="AP107" s="227"/>
      <c r="AQ107" s="227"/>
      <c r="AR107" s="1231" t="s">
        <v>1797</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M10699::ТЭ.73.28136693.0002::Неопределено::110.0.7.::Неопределено::Неопределено::Неопределено::Неопределено::Неопределено</v>
      </c>
    </row>
    <row s="1642" customFormat="1" customHeight="1" ht="33.75">
      <c r="A108" s="1184"/>
      <c r="B108" s="925"/>
      <c r="C108" s="1299" t="s">
        <v>47</v>
      </c>
      <c r="D108" s="1258" t="s">
        <v>1798</v>
      </c>
      <c r="E108" s="794">
        <v>35</v>
      </c>
      <c r="F108" s="920" cm="1" t="str">
        <f t="array" ref="F108:F108">OFFSET(G108,-1,-1)</f>
        <v>1</v>
      </c>
      <c r="G108" s="190" t="s">
        <v>1146</v>
      </c>
      <c r="H108" s="227"/>
      <c r="I108" s="227"/>
      <c r="J108" s="227"/>
      <c r="K108" s="227"/>
      <c r="L108" s="1287"/>
      <c r="M108" s="1285" cm="1" t="str">
        <f t="array" ref="M108:M108">OFFSET(L108,-1,1)</f>
        <v>ТЭ.73.28136693.0002</v>
      </c>
      <c r="N108" s="1287" t="s">
        <v>1799</v>
      </c>
      <c r="O108" s="1287"/>
      <c r="P108" s="1287"/>
      <c r="Q108" s="1287"/>
      <c r="R108" s="1287"/>
      <c r="S108" s="1287"/>
      <c r="T108" s="805" cm="1" t="str">
        <f t="array" ref="T108:T108">T107</f>
        <v>true</v>
      </c>
      <c r="U108" s="1437"/>
      <c r="V108" s="1437"/>
      <c r="W108" s="1437"/>
      <c r="X108" s="1437"/>
      <c r="Y108" s="1437"/>
      <c r="Z108" s="1437"/>
      <c r="AA108" s="227"/>
      <c r="AB108" s="990" t="s">
        <v>1800</v>
      </c>
      <c r="AC108" s="991" t="s">
        <v>1801</v>
      </c>
      <c r="AD108" s="992" t="s">
        <v>986</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92"/>
      <c r="AN108" s="1792"/>
      <c r="AO108" s="1792"/>
      <c r="AP108" s="227"/>
      <c r="AQ108" s="227"/>
      <c r="AR108" s="1231" t="s">
        <v>1802</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M10712::ТЭ.73.28136693.0002::Неопределено::110.0.13.::Неопределено::Неопределено::Неопределено::Неопределено::Неопределено</v>
      </c>
    </row>
    <row s="1642" customFormat="1" customHeight="1" ht="33.75">
      <c r="A109" s="1184"/>
      <c r="B109" s="925"/>
      <c r="C109" s="1299" t="s">
        <v>1767</v>
      </c>
      <c r="D109" s="1258" t="s">
        <v>1768</v>
      </c>
      <c r="E109" s="794">
        <v>35</v>
      </c>
      <c r="F109" s="920" cm="1" t="str">
        <f t="array" ref="F109:F109">OFFSET(G109,-1,-1)</f>
        <v>1</v>
      </c>
      <c r="G109" s="227"/>
      <c r="H109" s="227"/>
      <c r="I109" s="227"/>
      <c r="J109" s="227"/>
      <c r="K109" s="227"/>
      <c r="L109" s="1287" t="s">
        <v>1803</v>
      </c>
      <c r="M109" s="1285" cm="1" t="str">
        <f t="array" ref="M109:M109">OFFSET(L109,-1,1)</f>
        <v>ТЭ.73.28136693.0002</v>
      </c>
      <c r="N109" s="1287"/>
      <c r="O109" s="1287"/>
      <c r="P109" s="1287"/>
      <c r="Q109" s="1287"/>
      <c r="R109" s="1287"/>
      <c r="S109" s="1287"/>
      <c r="T109" s="805" cm="1" t="str">
        <f t="array" ref="T109:T109">T108</f>
        <v>true</v>
      </c>
      <c r="U109" s="1437"/>
      <c r="V109" s="1437"/>
      <c r="W109" s="1437"/>
      <c r="X109" s="1437"/>
      <c r="Y109" s="1437"/>
      <c r="Z109" s="1437"/>
      <c r="AA109" s="227"/>
      <c r="AB109" s="990" t="s">
        <v>1804</v>
      </c>
      <c r="AC109" s="991" t="s">
        <v>1805</v>
      </c>
      <c r="AD109" s="992" t="s">
        <v>986</v>
      </c>
      <c r="AE109" s="1981"/>
      <c r="AF109" s="1981"/>
      <c r="AG109" s="1981"/>
      <c r="AH109" s="307">
        <f>AG109-AF109</f>
        <v>0</v>
      </c>
      <c r="AI109" s="1981"/>
      <c r="AJ109" s="614"/>
      <c r="AK109" s="614"/>
      <c r="AL109" s="307">
        <f>IF(AI109=0,0,(AK109-AI109)/AI109*100)</f>
        <v>0</v>
      </c>
      <c r="AM109" s="1792"/>
      <c r="AN109" s="1792"/>
      <c r="AO109" s="1792"/>
      <c r="AP109" s="227"/>
      <c r="AQ109" s="227"/>
      <c r="AR109" s="1231" t="s">
        <v>1806</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M10558::ТЭ.73.28136693.0002::1.0.70.::Неопределено::Неопределено::Неопределено::Неопределено::Неопределено::Неопределено</v>
      </c>
    </row>
    <row s="1642" customFormat="1" customHeight="1" ht="53.25">
      <c r="A110" s="1184"/>
      <c r="B110" s="925"/>
      <c r="C110" s="1299" t="s">
        <v>1767</v>
      </c>
      <c r="D110" s="1258" t="s">
        <v>1768</v>
      </c>
      <c r="E110" s="794">
        <v>55</v>
      </c>
      <c r="F110" s="920" cm="1" t="str">
        <f t="array" ref="F110:F110">OFFSET(G110,-1,-1)</f>
        <v>1</v>
      </c>
      <c r="G110" s="227"/>
      <c r="H110" s="227"/>
      <c r="I110" s="227"/>
      <c r="J110" s="227"/>
      <c r="K110" s="227"/>
      <c r="L110" s="1287" t="s">
        <v>1807</v>
      </c>
      <c r="M110" s="1285" cm="1" t="str">
        <f t="array" ref="M110:M110">OFFSET(L110,-1,1)</f>
        <v>ТЭ.73.28136693.0002</v>
      </c>
      <c r="N110" s="1287"/>
      <c r="O110" s="1287"/>
      <c r="P110" s="1287"/>
      <c r="Q110" s="1287"/>
      <c r="R110" s="1287"/>
      <c r="S110" s="1287"/>
      <c r="T110" s="805" cm="1" t="str">
        <f t="array" ref="T110:T110">T109</f>
        <v>true</v>
      </c>
      <c r="U110" s="1437"/>
      <c r="V110" s="1437"/>
      <c r="W110" s="1437"/>
      <c r="X110" s="1437"/>
      <c r="Y110" s="1437"/>
      <c r="Z110" s="1437"/>
      <c r="AA110" s="227"/>
      <c r="AB110" s="990" t="s">
        <v>1808</v>
      </c>
      <c r="AC110" s="991" t="s">
        <v>1809</v>
      </c>
      <c r="AD110" s="992" t="s">
        <v>986</v>
      </c>
      <c r="AE110" s="1981"/>
      <c r="AF110" s="1981"/>
      <c r="AG110" s="1981"/>
      <c r="AH110" s="307">
        <f>AG110-AF110</f>
        <v>0</v>
      </c>
      <c r="AI110" s="1981"/>
      <c r="AJ110" s="614"/>
      <c r="AK110" s="614"/>
      <c r="AL110" s="307">
        <f>IF(AI110=0,0,(AK110-AI110)/AI110*100)</f>
        <v>0</v>
      </c>
      <c r="AM110" s="1792"/>
      <c r="AN110" s="1792"/>
      <c r="AO110" s="1792"/>
      <c r="AP110" s="227"/>
      <c r="AQ110" s="227"/>
      <c r="AR110" s="1231" t="s">
        <v>1810</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M10558::ТЭ.73.28136693.0002::1.0.102.::Неопределено::Неопределено::Неопределено::Неопределено::Неопределено::Неопределено</v>
      </c>
    </row>
    <row s="1642" customFormat="1" customHeight="1" ht="39">
      <c r="A111" s="1184"/>
      <c r="B111" s="925"/>
      <c r="C111" s="1299" t="s">
        <v>1767</v>
      </c>
      <c r="D111" s="1258" t="s">
        <v>1768</v>
      </c>
      <c r="E111" s="794">
        <v>40</v>
      </c>
      <c r="F111" s="920" cm="1" t="str">
        <f t="array" ref="F111:F111">OFFSET(G111,-1,-1)</f>
        <v>1</v>
      </c>
      <c r="G111" s="190" t="s">
        <v>1210</v>
      </c>
      <c r="H111" s="227"/>
      <c r="I111" s="227"/>
      <c r="J111" s="227"/>
      <c r="K111" s="227"/>
      <c r="L111" s="1287" t="s">
        <v>1811</v>
      </c>
      <c r="M111" s="1285" cm="1" t="str">
        <f t="array" ref="M111:M111">OFFSET(L111,-1,1)</f>
        <v>ТЭ.73.28136693.0002</v>
      </c>
      <c r="N111" s="1287"/>
      <c r="O111" s="1287"/>
      <c r="P111" s="1287"/>
      <c r="Q111" s="1287"/>
      <c r="R111" s="1287"/>
      <c r="S111" s="1287"/>
      <c r="T111" s="805" cm="1" t="str">
        <f t="array" ref="T111:T111">T110</f>
        <v>true</v>
      </c>
      <c r="U111" s="1437"/>
      <c r="V111" s="1437"/>
      <c r="W111" s="1437"/>
      <c r="X111" s="1437"/>
      <c r="Y111" s="1437"/>
      <c r="Z111" s="1437"/>
      <c r="AA111" s="227"/>
      <c r="AB111" s="990" t="s">
        <v>1812</v>
      </c>
      <c r="AC111" s="991" t="s">
        <v>1813</v>
      </c>
      <c r="AD111" s="992" t="s">
        <v>986</v>
      </c>
      <c r="AE111" s="612">
        <f>_xlfn.SUMIFS(Налоги!AE$26:AE$57,Налоги!$F$26:$F$57,$F111,Налоги!$G$26:$G$57,$G111)</f>
        <v>0</v>
      </c>
      <c r="AF111" s="612">
        <f>_xlfn.SUMIFS(Налоги!AF$26:AF$57,Налоги!$F$26:$F$57,$F111,Налоги!$G$26:$G$57,$G111)</f>
        <v>0</v>
      </c>
      <c r="AG111" s="612">
        <f>_xlfn.SUMIFS(Налоги!AG$26:AG$57,Налоги!$F$26:$F$57,$F111,Налоги!$G$26:$G$57,$G111)</f>
        <v>0</v>
      </c>
      <c r="AH111" s="307">
        <f>AG111-AF111</f>
        <v>0</v>
      </c>
      <c r="AI111" s="612">
        <f>_xlfn.SUMIFS(Налоги!AH$26:AH$57,Налоги!$F$26:$F$57,$F111,Налоги!$G$26:$G$57,$G111)</f>
        <v>0</v>
      </c>
      <c r="AJ111" s="612">
        <f>_xlfn.SUMIFS(Налоги!AI$26:AI$57,Налоги!$F$26:$F$57,$F111,Налоги!$G$26:$G$57,$G111)</f>
        <v>0</v>
      </c>
      <c r="AK111" s="612">
        <f>_xlfn.SUMIFS(Налоги!AS$26:AS$57,Налоги!$F$26:$F$57,$F111,Налоги!$G$26:$G$57,$G111)</f>
        <v>0</v>
      </c>
      <c r="AL111" s="307">
        <f>IF(AI111=0,0,(AK111-AI111)/AI111*100)</f>
        <v>0</v>
      </c>
      <c r="AM111" s="1792"/>
      <c r="AN111" s="1792"/>
      <c r="AO111" s="1792"/>
      <c r="AP111" s="227"/>
      <c r="AQ111" s="227"/>
      <c r="AR111" s="1231" t="s">
        <v>1326</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M10558::ТЭ.73.28136693.0002::1.0.99.::Неопределено::Неопределено::Неопределено::Неопределено::Неопределено::Неопределено</v>
      </c>
    </row>
    <row s="1642" customFormat="1" customHeight="1" ht="16.5">
      <c r="A112" s="1184"/>
      <c r="B112" s="925"/>
      <c r="C112" s="1299" t="s">
        <v>1767</v>
      </c>
      <c r="D112" s="1258" t="s">
        <v>1768</v>
      </c>
      <c r="E112" s="794">
        <v>17.1</v>
      </c>
      <c r="F112" s="920" cm="1" t="str">
        <f t="array" ref="F112:F112">OFFSET(G112,-1,-1)</f>
        <v>1</v>
      </c>
      <c r="G112" s="190" t="s">
        <v>1114</v>
      </c>
      <c r="H112" s="227"/>
      <c r="I112" s="227"/>
      <c r="J112" s="227"/>
      <c r="K112" s="227"/>
      <c r="L112" s="1287"/>
      <c r="M112" s="1285" cm="1" t="str">
        <f t="array" ref="M112:M112">OFFSET(L112,-1,1)</f>
        <v>ТЭ.73.28136693.0002</v>
      </c>
      <c r="N112" s="1287" t="s">
        <v>1814</v>
      </c>
      <c r="O112" s="1287"/>
      <c r="P112" s="1287"/>
      <c r="Q112" s="1287"/>
      <c r="R112" s="1287"/>
      <c r="S112" s="1287"/>
      <c r="T112" s="805" cm="1" t="str">
        <f t="array" ref="T112:T112">T111</f>
        <v>true</v>
      </c>
      <c r="U112" s="1437"/>
      <c r="V112" s="1437"/>
      <c r="W112" s="1437"/>
      <c r="X112" s="1437"/>
      <c r="Y112" s="1437"/>
      <c r="Z112" s="1437"/>
      <c r="AA112" s="227"/>
      <c r="AB112" s="990" t="s">
        <v>1815</v>
      </c>
      <c r="AC112" s="991" t="s">
        <v>1816</v>
      </c>
      <c r="AD112" s="992" t="s">
        <v>986</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8469.83</v>
      </c>
      <c r="AK112" s="307">
        <f>_xlfn.SUMIFS(Аренда!AS$26:AS$51,Аренда!$F$26:$F$51,$F112,Аренда!$G$26:$G$51,$G112)</f>
        <v>0</v>
      </c>
      <c r="AL112" s="307">
        <f>IF(AI112=0,0,(AK112-AI112)/AI112*100)</f>
        <v>0</v>
      </c>
      <c r="AM112" s="1792"/>
      <c r="AN112" s="1792"/>
      <c r="AO112" s="1792"/>
      <c r="AP112" s="227"/>
      <c r="AQ112" s="227"/>
      <c r="AR112" s="1231" t="s">
        <v>1817</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M10558::ТЭ.73.28136693.0002::Неопределено::110.0.26.::Неопределено::Неопределено::Неопределено::Неопределено::Неопределено</v>
      </c>
    </row>
    <row s="1642" customFormat="1" customHeight="1" ht="16.5">
      <c r="A113" s="1184"/>
      <c r="B113" s="925"/>
      <c r="C113" s="1299" t="s">
        <v>1767</v>
      </c>
      <c r="D113" s="1258" t="s">
        <v>1768</v>
      </c>
      <c r="E113" s="794">
        <v>17.1</v>
      </c>
      <c r="F113" s="920" cm="1" t="str">
        <f t="array" ref="F113:F113">OFFSET(G113,-1,-1)</f>
        <v>1</v>
      </c>
      <c r="G113" s="227"/>
      <c r="H113" s="227"/>
      <c r="I113" s="227"/>
      <c r="J113" s="227"/>
      <c r="K113" s="227"/>
      <c r="L113" s="1287"/>
      <c r="M113" s="1285" cm="1" t="str">
        <f t="array" ref="M113:M113">OFFSET(L113,-1,1)</f>
        <v>ТЭ.73.28136693.0002</v>
      </c>
      <c r="N113" s="1287"/>
      <c r="O113" s="1287" t="s">
        <v>1818</v>
      </c>
      <c r="P113" s="1287"/>
      <c r="Q113" s="1287"/>
      <c r="R113" s="1287"/>
      <c r="S113" s="1287"/>
      <c r="T113" s="805" cm="1" t="str">
        <f t="array" ref="T113:T113">T112</f>
        <v>true</v>
      </c>
      <c r="U113" s="1437"/>
      <c r="V113" s="1437"/>
      <c r="W113" s="1437"/>
      <c r="X113" s="1437"/>
      <c r="Y113" s="1437"/>
      <c r="Z113" s="1437"/>
      <c r="AA113" s="227"/>
      <c r="AB113" s="990" t="s">
        <v>1819</v>
      </c>
      <c r="AC113" s="991" t="s">
        <v>1285</v>
      </c>
      <c r="AD113" s="992" t="s">
        <v>986</v>
      </c>
      <c r="AE113" s="1981"/>
      <c r="AF113" s="1981"/>
      <c r="AG113" s="1981"/>
      <c r="AH113" s="307">
        <f>AG113-AF113</f>
        <v>0</v>
      </c>
      <c r="AI113" s="1981"/>
      <c r="AJ113" s="614"/>
      <c r="AK113" s="614"/>
      <c r="AL113" s="307">
        <f>IF(AI113=0,0,(AK113-AI113)/AI113*100)</f>
        <v>0</v>
      </c>
      <c r="AM113" s="1792"/>
      <c r="AN113" s="1792"/>
      <c r="AO113" s="1792"/>
      <c r="AP113" s="227"/>
      <c r="AQ113" s="227"/>
      <c r="AR113" s="1231" t="s">
        <v>1820</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M10558::ТЭ.73.28136693.0002::Неопределено::Неопределено::122.0.4.::Неопределено::Неопределено::Неопределено::Неопределено</v>
      </c>
    </row>
    <row s="1642" customFormat="1" customHeight="1" ht="16.5">
      <c r="A114" s="1184"/>
      <c r="B114" s="925"/>
      <c r="C114" s="1299" t="s">
        <v>1767</v>
      </c>
      <c r="D114" s="1258" t="s">
        <v>1768</v>
      </c>
      <c r="E114" s="794">
        <v>17.1</v>
      </c>
      <c r="F114" s="920" cm="1" t="str">
        <f t="array" ref="F114:F114">OFFSET(G114,-1,-1)</f>
        <v>1</v>
      </c>
      <c r="G114" s="227"/>
      <c r="H114" s="227"/>
      <c r="I114" s="227"/>
      <c r="J114" s="227"/>
      <c r="K114" s="227"/>
      <c r="L114" s="1287"/>
      <c r="M114" s="1285" cm="1" t="str">
        <f t="array" ref="M114:M114">OFFSET(L114,-1,1)</f>
        <v>ТЭ.73.28136693.0002</v>
      </c>
      <c r="N114" s="1287"/>
      <c r="O114" s="1287" t="s">
        <v>1821</v>
      </c>
      <c r="P114" s="1287"/>
      <c r="Q114" s="1287"/>
      <c r="R114" s="1287"/>
      <c r="S114" s="1287"/>
      <c r="T114" s="805" cm="1" t="str">
        <f t="array" ref="T114:T114">T113</f>
        <v>true</v>
      </c>
      <c r="U114" s="1437"/>
      <c r="V114" s="1437"/>
      <c r="W114" s="1437"/>
      <c r="X114" s="1437"/>
      <c r="Y114" s="1437"/>
      <c r="Z114" s="1437"/>
      <c r="AA114" s="227"/>
      <c r="AB114" s="990" t="s">
        <v>1822</v>
      </c>
      <c r="AC114" s="991" t="s">
        <v>1287</v>
      </c>
      <c r="AD114" s="992" t="s">
        <v>986</v>
      </c>
      <c r="AE114" s="1981"/>
      <c r="AF114" s="1981"/>
      <c r="AG114" s="1981"/>
      <c r="AH114" s="307">
        <f>AG114-AF114</f>
        <v>0</v>
      </c>
      <c r="AI114" s="1981"/>
      <c r="AJ114" s="614"/>
      <c r="AK114" s="614"/>
      <c r="AL114" s="307">
        <f>IF(AI114=0,0,(AK114-AI114)/AI114*100)</f>
        <v>0</v>
      </c>
      <c r="AM114" s="1792"/>
      <c r="AN114" s="1792"/>
      <c r="AO114" s="1792"/>
      <c r="AP114" s="227"/>
      <c r="AQ114" s="227"/>
      <c r="AR114" s="1231" t="s">
        <v>1288</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M10558::ТЭ.73.28136693.0002::Неопределено::Неопределено::122.0.5.::Неопределено::Неопределено::Неопределено::Неопределено</v>
      </c>
    </row>
    <row s="1642" customFormat="1" customHeight="1" ht="33.75">
      <c r="A115" s="1184"/>
      <c r="B115" s="925"/>
      <c r="C115" s="1299" t="s">
        <v>1767</v>
      </c>
      <c r="D115" s="1258" t="s">
        <v>1768</v>
      </c>
      <c r="E115" s="794">
        <v>35</v>
      </c>
      <c r="F115" s="920" cm="1" t="str">
        <f t="array" ref="F115:F115">OFFSET(G115,-1,-1)</f>
        <v>1</v>
      </c>
      <c r="G115" s="190" t="s">
        <v>1217</v>
      </c>
      <c r="H115" s="227"/>
      <c r="I115" s="227"/>
      <c r="J115" s="227"/>
      <c r="K115" s="227"/>
      <c r="L115" s="1287"/>
      <c r="M115" s="1285" cm="1" t="str">
        <f t="array" ref="M115:M115">OFFSET(L115,-1,1)</f>
        <v>ТЭ.73.28136693.0002</v>
      </c>
      <c r="N115" s="1287"/>
      <c r="O115" s="1287" t="s">
        <v>1823</v>
      </c>
      <c r="P115" s="1287"/>
      <c r="Q115" s="1287"/>
      <c r="R115" s="1287"/>
      <c r="S115" s="1287"/>
      <c r="T115" s="805" cm="1" t="str">
        <f t="array" ref="T115:T115">T114</f>
        <v>true</v>
      </c>
      <c r="U115" s="1437"/>
      <c r="V115" s="1437"/>
      <c r="W115" s="1437"/>
      <c r="X115" s="1437"/>
      <c r="Y115" s="1437"/>
      <c r="Z115" s="1437"/>
      <c r="AA115" s="227"/>
      <c r="AB115" s="990" t="s">
        <v>1824</v>
      </c>
      <c r="AC115" s="991" t="s">
        <v>1825</v>
      </c>
      <c r="AD115" s="992" t="s">
        <v>986</v>
      </c>
      <c r="AE115" s="612">
        <f>_xlfn.SUMIFS(Налоги!AE$26:AE$57,Налоги!$F$26:$F$57,$F115,Налоги!$G$26:$G$57,$G115)</f>
        <v>0</v>
      </c>
      <c r="AF115" s="612">
        <f>_xlfn.SUMIFS(Налоги!AF$26:AF$57,Налоги!$F$26:$F$57,$F115,Налоги!$G$26:$G$57,$G115)</f>
        <v>0</v>
      </c>
      <c r="AG115" s="612">
        <f>_xlfn.SUMIFS(Налоги!AG$26:AG$57,Налоги!$F$26:$F$57,$F115,Налоги!$G$26:$G$57,$G115)</f>
        <v>0</v>
      </c>
      <c r="AH115" s="307">
        <f>AG115-AF115</f>
        <v>0</v>
      </c>
      <c r="AI115" s="612">
        <f>_xlfn.SUMIFS(Налоги!AH$26:AH$57,Налоги!$F$26:$F$57,$F115,Налоги!$G$26:$G$57,$G115)</f>
        <v>0</v>
      </c>
      <c r="AJ115" s="612">
        <f>_xlfn.SUMIFS(Налоги!AI$26:AI$57,Налоги!$F$26:$F$57,$F115,Налоги!$G$26:$G$57,$G115)</f>
        <v>0</v>
      </c>
      <c r="AK115" s="612">
        <f>_xlfn.SUMIFS(Налоги!AS$26:AS$57,Налоги!$F$26:$F$57,$F115,Налоги!$G$26:$G$57,$G115)</f>
        <v>0</v>
      </c>
      <c r="AL115" s="307">
        <f>IF(AI115=0,0,(AK115-AI115)/AI115*100)</f>
        <v>0</v>
      </c>
      <c r="AM115" s="1792"/>
      <c r="AN115" s="1792"/>
      <c r="AO115" s="1792"/>
      <c r="AP115" s="227"/>
      <c r="AQ115" s="227"/>
      <c r="AR115" s="1231" t="s">
        <v>1826</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M10558::ТЭ.73.28136693.0002::Неопределено::Неопределено::122.0.6.::Неопределено::Неопределено::Неопределено::Неопределено</v>
      </c>
    </row>
    <row s="1642" customFormat="1" customHeight="1" ht="33.75">
      <c r="A116" s="1184"/>
      <c r="B116" s="925"/>
      <c r="C116" s="1299" t="s">
        <v>1767</v>
      </c>
      <c r="D116" s="1258" t="s">
        <v>1768</v>
      </c>
      <c r="E116" s="794">
        <v>35</v>
      </c>
      <c r="F116" s="920" cm="1" t="str">
        <f t="array" ref="F116:F116">OFFSET(G116,-1,-1)</f>
        <v>1</v>
      </c>
      <c r="G116" s="227"/>
      <c r="H116" s="227"/>
      <c r="I116" s="227"/>
      <c r="J116" s="227"/>
      <c r="K116" s="227"/>
      <c r="L116" s="1287" t="s">
        <v>1827</v>
      </c>
      <c r="M116" s="1285" cm="1" t="str">
        <f t="array" ref="M116:M116">OFFSET(L116,-1,1)</f>
        <v>ТЭ.73.28136693.0002</v>
      </c>
      <c r="N116" s="1287"/>
      <c r="O116" s="1287"/>
      <c r="P116" s="1287"/>
      <c r="Q116" s="1287"/>
      <c r="R116" s="1287"/>
      <c r="S116" s="1287"/>
      <c r="T116" s="805" cm="1" t="str">
        <f t="array" ref="T116:T116">T115</f>
        <v>true</v>
      </c>
      <c r="U116" s="1437"/>
      <c r="V116" s="1437"/>
      <c r="W116" s="1437"/>
      <c r="X116" s="1437"/>
      <c r="Y116" s="1437"/>
      <c r="Z116" s="1437"/>
      <c r="AA116" s="227"/>
      <c r="AB116" s="990" t="s">
        <v>1828</v>
      </c>
      <c r="AC116" s="991" t="s">
        <v>1829</v>
      </c>
      <c r="AD116" s="992" t="s">
        <v>986</v>
      </c>
      <c r="AE116" s="612">
        <f>SUM(AE117:AE121)</f>
        <v>0</v>
      </c>
      <c r="AF116" s="612">
        <f>SUM(AF117:AF121)</f>
        <v>1274.28</v>
      </c>
      <c r="AG116" s="612">
        <f>SUM(AG117:AG121)</f>
        <v>0</v>
      </c>
      <c r="AH116" s="307">
        <f>AG116-AF116</f>
        <v>-1274.28</v>
      </c>
      <c r="AI116" s="612">
        <f>SUM(AI117:AI121)</f>
        <v>0</v>
      </c>
      <c r="AJ116" s="612">
        <f>SUM(AJ117:AJ121)</f>
        <v>1090.31</v>
      </c>
      <c r="AK116" s="612">
        <f>SUM(AK117:AK121)</f>
        <v>-7496</v>
      </c>
      <c r="AL116" s="307">
        <f>IF(AI116=0,0,(AK116-AI116)/AI116*100)</f>
        <v>0</v>
      </c>
      <c r="AM116" s="1792"/>
      <c r="AN116" s="1792"/>
      <c r="AO116" s="1792"/>
      <c r="AP116" s="227"/>
      <c r="AQ116" s="227"/>
      <c r="AR116" s="1231" t="s">
        <v>1233</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M10558::ТЭ.73.28136693.0002::1.0.49.::Неопределено::Неопределено::Неопределено::Неопределено::Неопределено::Неопределено</v>
      </c>
    </row>
    <row s="1642" customFormat="1" customHeight="1" ht="16.5">
      <c r="A117" s="1184"/>
      <c r="B117" s="925"/>
      <c r="C117" s="1299" t="s">
        <v>1767</v>
      </c>
      <c r="D117" s="1258" t="s">
        <v>1768</v>
      </c>
      <c r="E117" s="794">
        <v>17.1</v>
      </c>
      <c r="F117" s="920" cm="1" t="str">
        <f t="array" ref="F117:F117">OFFSET(G117,-1,-1)</f>
        <v>1</v>
      </c>
      <c r="G117" s="190" t="s">
        <v>1221</v>
      </c>
      <c r="H117" s="227"/>
      <c r="I117" s="227"/>
      <c r="J117" s="227"/>
      <c r="K117" s="227"/>
      <c r="L117" s="1287" t="s">
        <v>1830</v>
      </c>
      <c r="M117" s="1285" cm="1" t="str">
        <f t="array" ref="M117:M117">OFFSET(L117,-1,1)</f>
        <v>ТЭ.73.28136693.0002</v>
      </c>
      <c r="N117" s="1287"/>
      <c r="O117" s="1287"/>
      <c r="P117" s="1287"/>
      <c r="Q117" s="1287"/>
      <c r="R117" s="1287"/>
      <c r="S117" s="1287"/>
      <c r="T117" s="805" cm="1" t="str">
        <f t="array" ref="T117:T117">T116</f>
        <v>true</v>
      </c>
      <c r="U117" s="1437"/>
      <c r="V117" s="1437"/>
      <c r="W117" s="1437"/>
      <c r="X117" s="1437"/>
      <c r="Y117" s="1437"/>
      <c r="Z117" s="1437"/>
      <c r="AA117" s="227"/>
      <c r="AB117" s="990" t="s">
        <v>1831</v>
      </c>
      <c r="AC117" s="991" t="s">
        <v>1832</v>
      </c>
      <c r="AD117" s="992" t="s">
        <v>986</v>
      </c>
      <c r="AE117" s="612">
        <f>_xlfn.SUMIFS(Налоги!AE$26:AE$57,Налоги!$F$26:$F$57,$F117,Налоги!$H$26:$H$57,$G117)</f>
        <v>0</v>
      </c>
      <c r="AF117" s="612">
        <f>_xlfn.SUMIFS(Налоги!AF$26:AF$57,Налоги!$F$26:$F$57,$F117,Налоги!$H$26:$H$57,$G117)</f>
        <v>1274.28</v>
      </c>
      <c r="AG117" s="612">
        <f>_xlfn.SUMIFS(Налоги!AG$26:AG$57,Налоги!$F$26:$F$57,$F117,Налоги!$H$26:$H$57,$G117)</f>
        <v>0</v>
      </c>
      <c r="AH117" s="307">
        <f>AG117-AF117</f>
        <v>-1274.28</v>
      </c>
      <c r="AI117" s="612">
        <f>_xlfn.SUMIFS(Налоги!AH$26:AH$57,Налоги!$F$26:$F$57,$F117,Налоги!$H$26:$H$57,$G117)</f>
        <v>0</v>
      </c>
      <c r="AJ117" s="612">
        <f>_xlfn.SUMIFS(Налоги!AI$26:AI$57,Налоги!$F$26:$F$57,$F117,Налоги!$H$26:$H$57,$G117)</f>
        <v>1090.31</v>
      </c>
      <c r="AK117" s="612">
        <f>_xlfn.SUMIFS(Налоги!AS$26:AS$57,Налоги!$F$26:$F$57,$F117,Налоги!$H$26:$H$57,$G117)</f>
        <v>0</v>
      </c>
      <c r="AL117" s="307">
        <f>IF(AI117=0,0,(AK117-AI117)/AI117*100)</f>
        <v>0</v>
      </c>
      <c r="AM117" s="1792"/>
      <c r="AN117" s="1792"/>
      <c r="AO117" s="1792"/>
      <c r="AP117" s="227"/>
      <c r="AQ117" s="227"/>
      <c r="AR117" s="1231" t="s">
        <v>558</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M10558::ТЭ.73.28136693.0002::1.0.25.::Неопределено::Неопределено::Неопределено::Неопределено::Неопределено::Неопределено</v>
      </c>
    </row>
    <row s="1642" customFormat="1" customHeight="1" ht="16.5">
      <c r="A118" s="1184"/>
      <c r="B118" s="925"/>
      <c r="C118" s="1299" t="s">
        <v>1767</v>
      </c>
      <c r="D118" s="1258" t="s">
        <v>1768</v>
      </c>
      <c r="E118" s="794">
        <v>17.1</v>
      </c>
      <c r="F118" s="920" cm="1" t="str">
        <f t="array" ref="F118:F118">OFFSET(G118,-1,-1)</f>
        <v>1</v>
      </c>
      <c r="G118" s="190" t="s">
        <v>1223</v>
      </c>
      <c r="H118" s="227"/>
      <c r="I118" s="227"/>
      <c r="J118" s="227"/>
      <c r="K118" s="227"/>
      <c r="L118" s="1287" t="s">
        <v>1833</v>
      </c>
      <c r="M118" s="1285" cm="1" t="str">
        <f t="array" ref="M118:M118">OFFSET(L118,-1,1)</f>
        <v>ТЭ.73.28136693.0002</v>
      </c>
      <c r="N118" s="1287"/>
      <c r="O118" s="1287"/>
      <c r="P118" s="1287"/>
      <c r="Q118" s="1287"/>
      <c r="R118" s="1287"/>
      <c r="S118" s="1287"/>
      <c r="T118" s="805" cm="1" t="str">
        <f t="array" ref="T118:T118">T117</f>
        <v>true</v>
      </c>
      <c r="U118" s="1437"/>
      <c r="V118" s="1437"/>
      <c r="W118" s="1437"/>
      <c r="X118" s="1437"/>
      <c r="Y118" s="1437"/>
      <c r="Z118" s="1437"/>
      <c r="AA118" s="227"/>
      <c r="AB118" s="990" t="s">
        <v>1834</v>
      </c>
      <c r="AC118" s="991" t="s">
        <v>1224</v>
      </c>
      <c r="AD118" s="992" t="s">
        <v>986</v>
      </c>
      <c r="AE118" s="612">
        <f>_xlfn.SUMIFS(Налоги!AE$26:AE$57,Налоги!$F$26:$F$57,$F118,Налоги!$H$26:$H$57,$G118)</f>
        <v>0</v>
      </c>
      <c r="AF118" s="612">
        <f>_xlfn.SUMIFS(Налоги!AF$26:AF$57,Налоги!$F$26:$F$57,$F118,Налоги!$H$26:$H$57,$G118)</f>
        <v>0</v>
      </c>
      <c r="AG118" s="612">
        <f>_xlfn.SUMIFS(Налоги!AG$26:AG$57,Налоги!$F$26:$F$57,$F118,Налоги!$H$26:$H$57,$G118)</f>
        <v>0</v>
      </c>
      <c r="AH118" s="307">
        <f>AG118-AF118</f>
        <v>0</v>
      </c>
      <c r="AI118" s="612">
        <f>_xlfn.SUMIFS(Налоги!AH$26:AH$57,Налоги!$F$26:$F$57,$F118,Налоги!$H$26:$H$57,$G118)</f>
        <v>0</v>
      </c>
      <c r="AJ118" s="612">
        <f>_xlfn.SUMIFS(Налоги!AI$26:AI$57,Налоги!$F$26:$F$57,$F118,Налоги!$H$26:$H$57,$G118)</f>
        <v>0</v>
      </c>
      <c r="AK118" s="612">
        <f>_xlfn.SUMIFS(Налоги!AS$26:AS$57,Налоги!$F$26:$F$57,$F118,Налоги!$H$26:$H$57,$G118)</f>
        <v>0</v>
      </c>
      <c r="AL118" s="307">
        <f>IF(AI118=0,0,(AK118-AI118)/AI118*100)</f>
        <v>0</v>
      </c>
      <c r="AM118" s="1792"/>
      <c r="AN118" s="1792"/>
      <c r="AO118" s="1792"/>
      <c r="AP118" s="227"/>
      <c r="AQ118" s="227"/>
      <c r="AR118" s="1231" t="s">
        <v>1225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M10558::ТЭ.73.28136693.0002::1.0.17.::Неопределено::Неопределено::Неопределено::Неопределено::Неопределено::Неопределено</v>
      </c>
    </row>
    <row s="1642" customFormat="1" customHeight="1" ht="16.5">
      <c r="A119" s="1184"/>
      <c r="B119" s="925"/>
      <c r="C119" s="1299" t="s">
        <v>1767</v>
      </c>
      <c r="D119" s="1258" t="s">
        <v>1768</v>
      </c>
      <c r="E119" s="794">
        <v>17.1</v>
      </c>
      <c r="F119" s="920" cm="1" t="str">
        <f t="array" ref="F119:F119">OFFSET(G119,-1,-1)</f>
        <v>1</v>
      </c>
      <c r="G119" s="190" t="s">
        <v>1214</v>
      </c>
      <c r="H119" s="227"/>
      <c r="I119" s="227"/>
      <c r="J119" s="227"/>
      <c r="K119" s="227"/>
      <c r="L119" s="1287" t="s">
        <v>1835</v>
      </c>
      <c r="M119" s="1285" cm="1" t="str">
        <f t="array" ref="M119:M119">OFFSET(L119,-1,1)</f>
        <v>ТЭ.73.28136693.0002</v>
      </c>
      <c r="N119" s="1287"/>
      <c r="O119" s="1287"/>
      <c r="P119" s="1287"/>
      <c r="Q119" s="1287"/>
      <c r="R119" s="1287"/>
      <c r="S119" s="1287"/>
      <c r="T119" s="805" cm="1" t="str">
        <f t="array" ref="T119:T119">T118</f>
        <v>true</v>
      </c>
      <c r="U119" s="1437"/>
      <c r="V119" s="1437"/>
      <c r="W119" s="1437"/>
      <c r="X119" s="1437"/>
      <c r="Y119" s="1437"/>
      <c r="Z119" s="1437"/>
      <c r="AA119" s="227"/>
      <c r="AB119" s="995" t="s">
        <v>1836</v>
      </c>
      <c r="AC119" s="996" t="s">
        <v>1215</v>
      </c>
      <c r="AD119" s="997" t="s">
        <v>986</v>
      </c>
      <c r="AE119" s="612">
        <f>_xlfn.SUMIFS(Налоги!AE$26:AE$57,Налоги!$F$26:$F$57,$F119,Налоги!$H$26:$H$57,$G119)</f>
        <v>0</v>
      </c>
      <c r="AF119" s="612">
        <f>_xlfn.SUMIFS(Налоги!AF$26:AF$57,Налоги!$F$26:$F$57,$F119,Налоги!$H$26:$H$57,$G119)</f>
        <v>0</v>
      </c>
      <c r="AG119" s="612">
        <f>_xlfn.SUMIFS(Налоги!AG$26:AG$57,Налоги!$F$26:$F$57,$F119,Налоги!$H$26:$H$57,$G119)</f>
        <v>0</v>
      </c>
      <c r="AH119" s="307">
        <f>AG119-AF119</f>
        <v>0</v>
      </c>
      <c r="AI119" s="612">
        <f>_xlfn.SUMIFS(Налоги!AH$26:AH$57,Налоги!$F$26:$F$57,$F119,Налоги!$H$26:$H$57,$G119)</f>
        <v>0</v>
      </c>
      <c r="AJ119" s="612">
        <f>_xlfn.SUMIFS(Налоги!AI$26:AI$57,Налоги!$F$26:$F$57,$F119,Налоги!$H$26:$H$57,$G119)</f>
        <v>0</v>
      </c>
      <c r="AK119" s="612">
        <f>_xlfn.SUMIFS(Налоги!AS$26:AS$57,Налоги!$F$26:$F$57,$F119,Налоги!$H$26:$H$57,$G119)</f>
        <v>0</v>
      </c>
      <c r="AL119" s="307">
        <f>IF(AI119=0,0,(AK119-AI119)/AI119*100)</f>
        <v>0</v>
      </c>
      <c r="AM119" s="1792"/>
      <c r="AN119" s="1792"/>
      <c r="AO119" s="1792"/>
      <c r="AP119" s="227"/>
      <c r="AQ119" s="227"/>
      <c r="AR119" s="1231" t="s">
        <v>1837</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M10558::ТЭ.73.28136693.0002::1.0.93.::Неопределено::Неопределено::Неопределено::Неопределено::Неопределено::Неопределено</v>
      </c>
    </row>
    <row s="1642" customFormat="1" customHeight="1" ht="16.5">
      <c r="A120" s="1184"/>
      <c r="B120" s="925"/>
      <c r="C120" s="1299" t="s">
        <v>1767</v>
      </c>
      <c r="D120" s="1258" t="s">
        <v>1768</v>
      </c>
      <c r="E120" s="794">
        <v>17.1</v>
      </c>
      <c r="F120" s="920" cm="1" t="str">
        <f t="array" ref="F120:F120">OFFSET(G120,-1,-1)</f>
        <v>1</v>
      </c>
      <c r="G120" s="190" t="s">
        <v>1228</v>
      </c>
      <c r="H120" s="227"/>
      <c r="I120" s="227"/>
      <c r="J120" s="227"/>
      <c r="K120" s="227"/>
      <c r="L120" s="1287" t="s">
        <v>1838</v>
      </c>
      <c r="M120" s="1285" cm="1" t="str">
        <f t="array" ref="M120:M120">OFFSET(L120,-1,1)</f>
        <v>ТЭ.73.28136693.0002</v>
      </c>
      <c r="N120" s="1287"/>
      <c r="O120" s="1287"/>
      <c r="P120" s="1287"/>
      <c r="Q120" s="1287"/>
      <c r="R120" s="1287"/>
      <c r="S120" s="1287"/>
      <c r="T120" s="805" cm="1" t="str">
        <f t="array" ref="T120:T120">T119</f>
        <v>true</v>
      </c>
      <c r="U120" s="1437"/>
      <c r="V120" s="1437"/>
      <c r="W120" s="1437"/>
      <c r="X120" s="1437"/>
      <c r="Y120" s="1437"/>
      <c r="Z120" s="1437"/>
      <c r="AA120" s="227"/>
      <c r="AB120" s="857" t="s">
        <v>1839</v>
      </c>
      <c r="AC120" s="999" t="s">
        <v>1229</v>
      </c>
      <c r="AD120" s="857" t="s">
        <v>986</v>
      </c>
      <c r="AE120" s="612">
        <f>_xlfn.SUMIFS(Налоги!AE$26:AE$57,Налоги!$F$26:$F$57,$F120,Налоги!$H$26:$H$57,$G120)</f>
        <v>0</v>
      </c>
      <c r="AF120" s="612">
        <f>_xlfn.SUMIFS(Налоги!AF$26:AF$57,Налоги!$F$26:$F$57,$F120,Налоги!$H$26:$H$57,$G120)</f>
        <v>0</v>
      </c>
      <c r="AG120" s="612">
        <f>_xlfn.SUMIFS(Налоги!AG$26:AG$57,Налоги!$F$26:$F$57,$F120,Налоги!$H$26:$H$57,$G120)</f>
        <v>0</v>
      </c>
      <c r="AH120" s="307">
        <f>AG120-AF120</f>
        <v>0</v>
      </c>
      <c r="AI120" s="612">
        <f>_xlfn.SUMIFS(Налоги!AH$26:AH$57,Налоги!$F$26:$F$57,$F120,Налоги!$H$26:$H$57,$G120)</f>
        <v>0</v>
      </c>
      <c r="AJ120" s="612">
        <f>_xlfn.SUMIFS(Налоги!AI$26:AI$57,Налоги!$F$26:$F$57,$F120,Налоги!$H$26:$H$57,$G120)</f>
        <v>0</v>
      </c>
      <c r="AK120" s="612">
        <f>_xlfn.SUMIFS(Налоги!AS$26:AS$57,Налоги!$F$26:$F$57,$F120,Налоги!$H$26:$H$57,$G120)</f>
        <v>0</v>
      </c>
      <c r="AL120" s="307">
        <f>IF(AI120=0,0,(AK120-AI120)/AI120*100)</f>
        <v>0</v>
      </c>
      <c r="AM120" s="1792"/>
      <c r="AN120" s="1792"/>
      <c r="AO120" s="1792"/>
      <c r="AP120" s="227"/>
      <c r="AQ120" s="227"/>
      <c r="AR120" s="1231" t="s">
        <v>1230</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M10558::ТЭ.73.28136693.0002::1.0.6.::Неопределено::Неопределено::Неопределено::Неопределено::Неопределено::Неопределено</v>
      </c>
    </row>
    <row s="1642" customFormat="1" customHeight="1" ht="16.5">
      <c r="A121" s="1184"/>
      <c r="B121" s="925"/>
      <c r="C121" s="1299" t="s">
        <v>1767</v>
      </c>
      <c r="D121" s="1258" t="s">
        <v>1768</v>
      </c>
      <c r="E121" s="794">
        <v>17.1</v>
      </c>
      <c r="F121" s="920" cm="1" t="str">
        <f t="array" ref="F121:F121">OFFSET(G121,-1,-1)</f>
        <v>1</v>
      </c>
      <c r="G121" s="190" t="s">
        <v>1213</v>
      </c>
      <c r="H121" s="227"/>
      <c r="I121" s="227"/>
      <c r="J121" s="227"/>
      <c r="K121" s="227"/>
      <c r="L121" s="1287" t="s">
        <v>1840</v>
      </c>
      <c r="M121" s="1285" cm="1" t="str">
        <f t="array" ref="M121:M121">OFFSET(L121,-1,1)</f>
        <v>ТЭ.73.28136693.0002</v>
      </c>
      <c r="N121" s="1287"/>
      <c r="O121" s="1287"/>
      <c r="P121" s="1287"/>
      <c r="Q121" s="1287"/>
      <c r="R121" s="1287"/>
      <c r="S121" s="1287"/>
      <c r="T121" s="805" cm="1" t="str">
        <f t="array" ref="T121:T121">T120</f>
        <v>true</v>
      </c>
      <c r="U121" s="1437"/>
      <c r="V121" s="1437"/>
      <c r="W121" s="1437"/>
      <c r="X121" s="1437"/>
      <c r="Y121" s="1437"/>
      <c r="Z121" s="1437"/>
      <c r="AA121" s="227"/>
      <c r="AB121" s="857" t="s">
        <v>1841</v>
      </c>
      <c r="AC121" s="999" t="s">
        <v>1842</v>
      </c>
      <c r="AD121" s="857" t="s">
        <v>986</v>
      </c>
      <c r="AE121" s="612">
        <f>_xlfn.SUMIFS(Налоги!AE$26:AE$57,Налоги!$F$26:$F$57,$F121,Налоги!$H$26:$H$57,$G121)</f>
        <v>0</v>
      </c>
      <c r="AF121" s="612">
        <f>_xlfn.SUMIFS(Налоги!AF$26:AF$57,Налоги!$F$26:$F$57,$F121,Налоги!$H$26:$H$57,$G121)</f>
        <v>0</v>
      </c>
      <c r="AG121" s="612">
        <f>_xlfn.SUMIFS(Налоги!AG$26:AG$57,Налоги!$F$26:$F$57,$F121,Налоги!$H$26:$H$57,$G121)</f>
        <v>0</v>
      </c>
      <c r="AH121" s="307">
        <f>AG121-AF121</f>
        <v>0</v>
      </c>
      <c r="AI121" s="612">
        <f>_xlfn.SUMIFS(Налоги!AH$26:AH$57,Налоги!$F$26:$F$57,$F121,Налоги!$H$26:$H$57,$G121)</f>
        <v>0</v>
      </c>
      <c r="AJ121" s="612">
        <f>_xlfn.SUMIFS(Налоги!AI$26:AI$57,Налоги!$F$26:$F$57,$F121,Налоги!$H$26:$H$57,$G121)</f>
        <v>0</v>
      </c>
      <c r="AK121" s="612">
        <f>_xlfn.SUMIFS(Налоги!AS$26:AS$57,Налоги!$F$26:$F$57,$F121,Налоги!$H$26:$H$57,$G121)</f>
        <v>-7496</v>
      </c>
      <c r="AL121" s="307">
        <f>IF(AI121=0,0,(AK121-AI121)/AI121*100)</f>
        <v>0</v>
      </c>
      <c r="AM121" s="1792"/>
      <c r="AN121" s="1792"/>
      <c r="AO121" s="1792"/>
      <c r="AP121" s="227"/>
      <c r="AQ121" s="227"/>
      <c r="AR121" s="1231" t="s">
        <v>1843</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M10558::ТЭ.73.28136693.0002::1.0.52.::Неопределено::Неопределено::Неопределено::Неопределено::Неопределено::Неопределено</v>
      </c>
    </row>
    <row s="1642" customFormat="1" customHeight="1" ht="16.5">
      <c r="A122" s="1184"/>
      <c r="B122" s="925"/>
      <c r="C122" s="1299" t="s">
        <v>1767</v>
      </c>
      <c r="D122" s="1258" t="s">
        <v>1768</v>
      </c>
      <c r="E122" s="794">
        <v>17.1</v>
      </c>
      <c r="F122" s="920" cm="1" t="str">
        <f t="array" ref="F122:F122">OFFSET(G122,-1,-1)</f>
        <v>1</v>
      </c>
      <c r="G122" s="227"/>
      <c r="H122" s="227"/>
      <c r="I122" s="227"/>
      <c r="J122" s="227"/>
      <c r="K122" s="227"/>
      <c r="L122" s="1287" t="s">
        <v>1844</v>
      </c>
      <c r="M122" s="1285" cm="1" t="str">
        <f t="array" ref="M122:M122">OFFSET(L122,-1,1)</f>
        <v>ТЭ.73.28136693.0002</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1845</v>
      </c>
      <c r="AD122" s="884" t="s">
        <v>986</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92"/>
      <c r="AN122" s="1792"/>
      <c r="AO122" s="1792"/>
      <c r="AP122" s="227"/>
      <c r="AQ122" s="227"/>
      <c r="AR122" s="1231" t="s">
        <v>1846</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M10558::ТЭ.73.28136693.0002::1.0.50.::Неопределено::Неопределено::Неопределено::Неопределено::Неопределено::Неопределено</v>
      </c>
    </row>
    <row s="1642" customFormat="1" customHeight="1" ht="43.5">
      <c r="A123" s="1184"/>
      <c r="B123" s="925"/>
      <c r="C123" s="1299" t="s">
        <v>1767</v>
      </c>
      <c r="D123" s="1258" t="s">
        <v>1768</v>
      </c>
      <c r="E123" s="794">
        <v>45</v>
      </c>
      <c r="F123" s="920" cm="1" t="str">
        <f t="array" ref="F123:F123">OFFSET(G123,-1,-1)</f>
        <v>1</v>
      </c>
      <c r="G123" s="227"/>
      <c r="H123" s="227"/>
      <c r="I123" s="227"/>
      <c r="J123" s="227"/>
      <c r="K123" s="227"/>
      <c r="L123" s="1287"/>
      <c r="M123" s="1285" cm="1" t="str">
        <f t="array" ref="M123:M123">OFFSET(L123,-1,1)</f>
        <v>ТЭ.73.28136693.0002</v>
      </c>
      <c r="N123" s="1287"/>
      <c r="O123" s="1287"/>
      <c r="P123" s="1287" t="s">
        <v>1847</v>
      </c>
      <c r="Q123" s="1287"/>
      <c r="R123" s="1287"/>
      <c r="S123" s="1287"/>
      <c r="T123" s="805" cm="1" t="str">
        <f t="array" ref="T123:T123">T122</f>
        <v>true</v>
      </c>
      <c r="U123" s="1437"/>
      <c r="V123" s="1437"/>
      <c r="W123" s="1437"/>
      <c r="X123" s="1437"/>
      <c r="Y123" s="1437"/>
      <c r="Z123" s="1437"/>
      <c r="AA123" s="227"/>
      <c r="AB123" s="857" t="s">
        <v>443</v>
      </c>
      <c r="AC123" s="1002" t="s">
        <v>1848</v>
      </c>
      <c r="AD123" s="857" t="s">
        <v>986</v>
      </c>
      <c r="AE123" s="1981"/>
      <c r="AF123" s="1981"/>
      <c r="AG123" s="1981"/>
      <c r="AH123" s="307">
        <f>AG123-AF123</f>
        <v>0</v>
      </c>
      <c r="AI123" s="1981"/>
      <c r="AJ123" s="614"/>
      <c r="AK123" s="614"/>
      <c r="AL123" s="307">
        <f>IF(AI123=0,0,(AK123-AI123)/AI123*100)</f>
        <v>0</v>
      </c>
      <c r="AM123" s="1792"/>
      <c r="AN123" s="1792"/>
      <c r="AO123" s="1792"/>
      <c r="AP123" s="227"/>
      <c r="AQ123" s="227"/>
      <c r="AR123" s="1231" t="s">
        <v>1849</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M10558::ТЭ.73.28136693.0002::Неопределено::Неопределено::Неопределено::306.0.3.::Неопределено::Неопределено::Неопределено</v>
      </c>
    </row>
    <row s="1642" customFormat="1" customHeight="1" ht="16.5">
      <c r="A124" s="1184"/>
      <c r="B124" s="925"/>
      <c r="C124" s="1299" t="s">
        <v>1767</v>
      </c>
      <c r="D124" s="1258" t="s">
        <v>1768</v>
      </c>
      <c r="E124" s="794">
        <v>17.1</v>
      </c>
      <c r="F124" s="920" cm="1" t="str">
        <f t="array" ref="F124:F124">OFFSET(G124,-1,-1)</f>
        <v>1</v>
      </c>
      <c r="G124" s="227"/>
      <c r="H124" s="227"/>
      <c r="I124" s="227"/>
      <c r="J124" s="227"/>
      <c r="K124" s="227"/>
      <c r="L124" s="1287"/>
      <c r="M124" s="1285" cm="1" t="str">
        <f t="array" ref="M124:M124">OFFSET(L124,-1,1)</f>
        <v>ТЭ.73.28136693.0002</v>
      </c>
      <c r="N124" s="1287" t="s">
        <v>1850</v>
      </c>
      <c r="O124" s="1287"/>
      <c r="P124" s="1287"/>
      <c r="Q124" s="1287"/>
      <c r="R124" s="1287"/>
      <c r="S124" s="1287"/>
      <c r="T124" s="805" cm="1" t="str">
        <f t="array" ref="T124:T124">T123</f>
        <v>true</v>
      </c>
      <c r="U124" s="1437"/>
      <c r="V124" s="1437"/>
      <c r="W124" s="1437"/>
      <c r="X124" s="1437"/>
      <c r="Y124" s="1437"/>
      <c r="Z124" s="1437"/>
      <c r="AA124" s="227"/>
      <c r="AB124" s="555" t="s">
        <v>470</v>
      </c>
      <c r="AC124" s="1003" t="s">
        <v>1335</v>
      </c>
      <c r="AD124" s="571" t="s">
        <v>986</v>
      </c>
      <c r="AE124" s="1981"/>
      <c r="AF124" s="1981"/>
      <c r="AG124" s="1981"/>
      <c r="AH124" s="307">
        <f>AG124-AF124</f>
        <v>0</v>
      </c>
      <c r="AI124" s="1981"/>
      <c r="AJ124" s="614"/>
      <c r="AK124" s="614"/>
      <c r="AL124" s="307">
        <f>IF(AI124=0,0,(AK124-AI124)/AI124*100)</f>
        <v>0</v>
      </c>
      <c r="AM124" s="1792"/>
      <c r="AN124" s="1792"/>
      <c r="AO124" s="1792"/>
      <c r="AP124" s="227"/>
      <c r="AQ124" s="227"/>
      <c r="AR124" s="1231" t="s">
        <v>1851</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M10558::ТЭ.73.28136693.0002::Неопределено::110.0.37.::Неопределено::Неопределено::Неопределено::Неопределено::Неопределено</v>
      </c>
    </row>
    <row s="1642" customFormat="1" customHeight="1" ht="33.75">
      <c r="A125" s="1184"/>
      <c r="B125" s="925"/>
      <c r="C125" s="1299" t="s">
        <v>1767</v>
      </c>
      <c r="D125" s="1258" t="s">
        <v>1768</v>
      </c>
      <c r="E125" s="794">
        <v>35</v>
      </c>
      <c r="F125" s="920" cm="1" t="str">
        <f t="array" ref="F125:F125">OFFSET(G125,-1,-1)</f>
        <v>1</v>
      </c>
      <c r="G125" s="227"/>
      <c r="H125" s="227"/>
      <c r="I125" s="227"/>
      <c r="J125" s="227"/>
      <c r="K125" s="227"/>
      <c r="L125" s="1287" t="s">
        <v>1852</v>
      </c>
      <c r="M125" s="1285" cm="1" t="str">
        <f t="array" ref="M125:M125">OFFSET(L125,-1,1)</f>
        <v>ТЭ.73.28136693.0002</v>
      </c>
      <c r="N125" s="1287"/>
      <c r="O125" s="1287"/>
      <c r="P125" s="1287"/>
      <c r="Q125" s="1287"/>
      <c r="R125" s="1287"/>
      <c r="S125" s="1287"/>
      <c r="T125" s="805" cm="1" t="str">
        <f t="array" ref="T125:T125">T124</f>
        <v>true</v>
      </c>
      <c r="U125" s="1437"/>
      <c r="V125" s="1437"/>
      <c r="W125" s="1437"/>
      <c r="X125" s="1437"/>
      <c r="Y125" s="1437"/>
      <c r="Z125" s="1437"/>
      <c r="AA125" s="227"/>
      <c r="AB125" s="485" t="s">
        <v>474</v>
      </c>
      <c r="AC125" s="1004" t="s">
        <v>1347</v>
      </c>
      <c r="AD125" s="572" t="s">
        <v>986</v>
      </c>
      <c r="AE125" s="1981"/>
      <c r="AF125" s="1981"/>
      <c r="AG125" s="1981"/>
      <c r="AH125" s="307">
        <f>AG125-AF125</f>
        <v>0</v>
      </c>
      <c r="AI125" s="1981"/>
      <c r="AJ125" s="614"/>
      <c r="AK125" s="614"/>
      <c r="AL125" s="307">
        <f>IF(AI125=0,0,(AK125-AI125)/AI125*100)</f>
        <v>0</v>
      </c>
      <c r="AM125" s="1792"/>
      <c r="AN125" s="1792"/>
      <c r="AO125" s="1792"/>
      <c r="AP125" s="227"/>
      <c r="AQ125" s="227"/>
      <c r="AR125" s="1231" t="s">
        <v>1853</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M10558::ТЭ.73.28136693.0002::1.0.89.::Неопределено::Неопределено::Неопределено::Неопределено::Неопределено::Неопределено</v>
      </c>
    </row>
    <row s="1642" customFormat="1" customHeight="1" ht="16.5">
      <c r="A126" s="1184"/>
      <c r="B126" s="925"/>
      <c r="C126" s="1299" t="s">
        <v>1767</v>
      </c>
      <c r="D126" s="1258" t="s">
        <v>1768</v>
      </c>
      <c r="E126" s="794">
        <v>17.1</v>
      </c>
      <c r="F126" s="920" cm="1" t="str">
        <f t="array" ref="F126:F126">OFFSET(G126,-1,-1)</f>
        <v>1</v>
      </c>
      <c r="G126" s="227"/>
      <c r="H126" s="227"/>
      <c r="I126" s="227"/>
      <c r="J126" s="227"/>
      <c r="K126" s="227"/>
      <c r="L126" s="1287"/>
      <c r="M126" s="1285" cm="1" t="str">
        <f t="array" ref="M126:M126">OFFSET(L126,-1,1)</f>
        <v>ТЭ.73.28136693.0002</v>
      </c>
      <c r="N126" s="1277" t="s">
        <v>1854</v>
      </c>
      <c r="O126" s="1287"/>
      <c r="P126" s="1287"/>
      <c r="Q126" s="1287"/>
      <c r="R126" s="1287"/>
      <c r="S126" s="1287"/>
      <c r="T126" s="805" cm="1" t="str">
        <f t="array" ref="T126:T126">T125</f>
        <v>true</v>
      </c>
      <c r="U126" s="1437"/>
      <c r="V126" s="1437"/>
      <c r="W126" s="1437"/>
      <c r="X126" s="1437"/>
      <c r="Y126" s="1437"/>
      <c r="Z126" s="1437"/>
      <c r="AA126" s="227"/>
      <c r="AB126" s="485" t="s">
        <v>478</v>
      </c>
      <c r="AC126" s="1004" t="s">
        <v>1855</v>
      </c>
      <c r="AD126" s="572" t="s">
        <v>986</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92"/>
      <c r="AN126" s="1792"/>
      <c r="AO126" s="1792"/>
      <c r="AP126" s="227"/>
      <c r="AQ126" s="227"/>
      <c r="AR126" s="1231" t="s">
        <v>1856</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M10558::ТЭ.73.28136693.0002::Неопределено::110.0.32.::Неопределено::Неопределено::Неопределено::Неопределено::Неопределено</v>
      </c>
    </row>
    <row s="1642" customFormat="1" customHeight="1" ht="16.5">
      <c r="A127" s="1184"/>
      <c r="B127" s="925"/>
      <c r="C127" s="1299" t="s">
        <v>1767</v>
      </c>
      <c r="D127" s="1258" t="s">
        <v>1768</v>
      </c>
      <c r="E127" s="794">
        <v>17.1</v>
      </c>
      <c r="F127" s="920" cm="1" t="str">
        <f t="array" ref="F127:F127">OFFSET(G127,-1,-1)</f>
        <v>1</v>
      </c>
      <c r="G127" s="227"/>
      <c r="H127" s="227"/>
      <c r="I127" s="227"/>
      <c r="J127" s="227"/>
      <c r="K127" s="227"/>
      <c r="L127" s="1287" t="s">
        <v>1857</v>
      </c>
      <c r="M127" s="1285" cm="1" t="str">
        <f t="array" ref="M127:M127">OFFSET(L127,-1,1)</f>
        <v>ТЭ.73.28136693.0002</v>
      </c>
      <c r="N127" s="1287"/>
      <c r="O127" s="1287"/>
      <c r="P127" s="1287"/>
      <c r="Q127" s="1287"/>
      <c r="R127" s="1287"/>
      <c r="S127" s="1287"/>
      <c r="T127" s="805" cm="1" t="str">
        <f t="array" ref="T127:T127">T126</f>
        <v>true</v>
      </c>
      <c r="U127" s="1437"/>
      <c r="V127" s="1437"/>
      <c r="W127" s="1437"/>
      <c r="X127" s="1437"/>
      <c r="Y127" s="1437"/>
      <c r="Z127" s="1437"/>
      <c r="AA127" s="227"/>
      <c r="AB127" s="496" t="s">
        <v>1858</v>
      </c>
      <c r="AC127" s="1006" t="s">
        <v>1859</v>
      </c>
      <c r="AD127" s="651" t="s">
        <v>986</v>
      </c>
      <c r="AE127" s="1981"/>
      <c r="AF127" s="1981"/>
      <c r="AG127" s="1981"/>
      <c r="AH127" s="307">
        <f>AG127-AF127</f>
        <v>0</v>
      </c>
      <c r="AI127" s="1981"/>
      <c r="AJ127" s="614"/>
      <c r="AK127" s="614"/>
      <c r="AL127" s="307">
        <f>IF(AI127=0,0,(AK127-AI127)/AI127*100)</f>
        <v>0</v>
      </c>
      <c r="AM127" s="1792"/>
      <c r="AN127" s="1792"/>
      <c r="AO127" s="1792"/>
      <c r="AP127" s="227"/>
      <c r="AQ127" s="227"/>
      <c r="AR127" s="1231" t="s">
        <v>1860</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M10558::ТЭ.73.28136693.0002::1.0.96.::Неопределено::Неопределено::Неопределено::Неопределено::Неопределено::Неопределено</v>
      </c>
    </row>
    <row s="1642" customFormat="1" customHeight="1" ht="16.5">
      <c r="A128" s="1184"/>
      <c r="B128" s="925"/>
      <c r="C128" s="1299" t="s">
        <v>1767</v>
      </c>
      <c r="D128" s="1258" t="s">
        <v>1768</v>
      </c>
      <c r="E128" s="794">
        <v>17.1</v>
      </c>
      <c r="F128" s="920" cm="1" t="str">
        <f t="array" ref="F128:F128">OFFSET(G128,-1,-1)</f>
        <v>1</v>
      </c>
      <c r="G128" s="227"/>
      <c r="H128" s="227"/>
      <c r="I128" s="227"/>
      <c r="J128" s="227"/>
      <c r="K128" s="227"/>
      <c r="L128" s="1287"/>
      <c r="M128" s="1285" cm="1" t="str">
        <f t="array" ref="M128:M128">OFFSET(L128,-1,1)</f>
        <v>ТЭ.73.28136693.0002</v>
      </c>
      <c r="N128" s="1287" t="s">
        <v>1861</v>
      </c>
      <c r="O128" s="1287"/>
      <c r="P128" s="1287"/>
      <c r="Q128" s="1287"/>
      <c r="R128" s="1287"/>
      <c r="S128" s="1287"/>
      <c r="T128" s="805" cm="1" t="str">
        <f t="array" ref="T128:T128">T127</f>
        <v>true</v>
      </c>
      <c r="U128" s="1437"/>
      <c r="V128" s="1437"/>
      <c r="W128" s="1437"/>
      <c r="X128" s="1437"/>
      <c r="Y128" s="1437"/>
      <c r="Z128" s="1437"/>
      <c r="AA128" s="227"/>
      <c r="AB128" s="857" t="s">
        <v>1862</v>
      </c>
      <c r="AC128" s="1002" t="s">
        <v>1863</v>
      </c>
      <c r="AD128" s="857" t="s">
        <v>986</v>
      </c>
      <c r="AE128" s="1981"/>
      <c r="AF128" s="1981"/>
      <c r="AG128" s="1981"/>
      <c r="AH128" s="307">
        <f>AG128-AF128</f>
        <v>0</v>
      </c>
      <c r="AI128" s="1981"/>
      <c r="AJ128" s="614"/>
      <c r="AK128" s="614"/>
      <c r="AL128" s="307">
        <f>IF(AI128=0,0,(AK128-AI128)/AI128*100)</f>
        <v>0</v>
      </c>
      <c r="AM128" s="1792"/>
      <c r="AN128" s="1792"/>
      <c r="AO128" s="1792"/>
      <c r="AP128" s="227"/>
      <c r="AQ128" s="227"/>
      <c r="AR128" s="1231" t="s">
        <v>1864</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M10558::ТЭ.73.28136693.0002::Неопределено::110.0.39.::Неопределено::Неопределено::Неопределено::Неопределено::Неопределено</v>
      </c>
    </row>
    <row s="1642" customFormat="1" customHeight="1" ht="33.75">
      <c r="A129" s="1184"/>
      <c r="B129" s="925"/>
      <c r="C129" s="1299" t="s">
        <v>1767</v>
      </c>
      <c r="D129" s="1258" t="s">
        <v>1768</v>
      </c>
      <c r="E129" s="794">
        <v>35</v>
      </c>
      <c r="F129" s="920" cm="1" t="str">
        <f t="array" ref="F129:F129">OFFSET(G129,-1,-1)</f>
        <v>1</v>
      </c>
      <c r="G129" s="227"/>
      <c r="H129" s="227"/>
      <c r="I129" s="227"/>
      <c r="J129" s="227"/>
      <c r="K129" s="227"/>
      <c r="L129" s="1287"/>
      <c r="M129" s="1285" cm="1" t="str">
        <f t="array" ref="M129:M129">OFFSET(L129,-1,1)</f>
        <v>ТЭ.73.28136693.0002</v>
      </c>
      <c r="N129" s="1287" t="s">
        <v>1865</v>
      </c>
      <c r="O129" s="1287"/>
      <c r="P129" s="1287"/>
      <c r="Q129" s="1287"/>
      <c r="R129" s="1287"/>
      <c r="S129" s="1287"/>
      <c r="T129" s="805" cm="1" t="str">
        <f t="array" ref="T129:T129">T128</f>
        <v>true</v>
      </c>
      <c r="U129" s="1437"/>
      <c r="V129" s="1437"/>
      <c r="W129" s="1437"/>
      <c r="X129" s="1437"/>
      <c r="Y129" s="1437"/>
      <c r="Z129" s="1437"/>
      <c r="AA129" s="227"/>
      <c r="AB129" s="884">
        <v>3</v>
      </c>
      <c r="AC129" s="1008" t="s">
        <v>1866</v>
      </c>
      <c r="AD129" s="884" t="s">
        <v>986</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92"/>
      <c r="AN129" s="1792"/>
      <c r="AO129" s="1792"/>
      <c r="AP129" s="227"/>
      <c r="AQ129" s="227"/>
      <c r="AR129" s="1231" t="s">
        <v>1867</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M10558::ТЭ.73.28136693.0002::Неопределено::110.0.46.::Неопределено::Неопределено::Неопределено::Неопределено::Неопределено</v>
      </c>
    </row>
    <row s="1642" customFormat="1" customHeight="1" ht="16.5">
      <c r="A130" s="1184"/>
      <c r="B130" s="925"/>
      <c r="C130" s="1299" t="s">
        <v>1767</v>
      </c>
      <c r="D130" s="1258" t="s">
        <v>1768</v>
      </c>
      <c r="E130" s="794">
        <v>17.1</v>
      </c>
      <c r="F130" s="920" cm="1" t="str">
        <f t="array" ref="F130:F130">OFFSET(G130,-1,-1)</f>
        <v>1</v>
      </c>
      <c r="G130" s="227"/>
      <c r="H130" s="227"/>
      <c r="I130" s="227"/>
      <c r="J130" s="227"/>
      <c r="K130" s="227"/>
      <c r="L130" s="1287"/>
      <c r="M130" s="1285" cm="1" t="str">
        <f t="array" ref="M130:M130">OFFSET(L130,-1,1)</f>
        <v>ТЭ.73.28136693.0002</v>
      </c>
      <c r="N130" s="1287" t="s">
        <v>1868</v>
      </c>
      <c r="O130" s="1287"/>
      <c r="P130" s="1287"/>
      <c r="Q130" s="1287"/>
      <c r="R130" s="1287"/>
      <c r="S130" s="1287"/>
      <c r="T130" s="805" cm="1" t="str">
        <f t="array" ref="T130:T130">T129</f>
        <v>true</v>
      </c>
      <c r="U130" s="1437"/>
      <c r="V130" s="1437"/>
      <c r="W130" s="1437"/>
      <c r="X130" s="1437"/>
      <c r="Y130" s="1437"/>
      <c r="Z130" s="1437"/>
      <c r="AA130" s="227"/>
      <c r="AB130" s="857" t="s">
        <v>704</v>
      </c>
      <c r="AC130" s="999" t="s">
        <v>1869</v>
      </c>
      <c r="AD130" s="857" t="s">
        <v>986</v>
      </c>
      <c r="AE130" s="1981"/>
      <c r="AF130" s="1981"/>
      <c r="AG130" s="1981"/>
      <c r="AH130" s="307">
        <f>AG130-AF130</f>
        <v>0</v>
      </c>
      <c r="AI130" s="1981"/>
      <c r="AJ130" s="614"/>
      <c r="AK130" s="614"/>
      <c r="AL130" s="307">
        <f>IF(AI130=0,0,(AK130-AI130)/AI130*100)</f>
        <v>0</v>
      </c>
      <c r="AM130" s="1792"/>
      <c r="AN130" s="1792"/>
      <c r="AO130" s="1792"/>
      <c r="AP130" s="227"/>
      <c r="AQ130" s="227"/>
      <c r="AR130" s="1231" t="s">
        <v>1870</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M10558::ТЭ.73.28136693.0002::Неопределено::110.0.21.::Неопределено::Неопределено::Неопределено::Неопределено::Неопределено</v>
      </c>
    </row>
    <row s="1642" customFormat="1" customHeight="1" ht="16.5">
      <c r="A131" s="1184"/>
      <c r="B131" s="925"/>
      <c r="C131" s="1299" t="s">
        <v>1767</v>
      </c>
      <c r="D131" s="1258" t="s">
        <v>1768</v>
      </c>
      <c r="E131" s="794">
        <v>17.1</v>
      </c>
      <c r="F131" s="920" cm="1" t="str">
        <f t="array" ref="F131:F131">OFFSET(G131,-1,-1)</f>
        <v>1</v>
      </c>
      <c r="G131" s="227"/>
      <c r="H131" s="227"/>
      <c r="I131" s="227"/>
      <c r="J131" s="227"/>
      <c r="K131" s="227"/>
      <c r="L131" s="1287"/>
      <c r="M131" s="1285" cm="1" t="str">
        <f t="array" ref="M131:M131">OFFSET(L131,-1,1)</f>
        <v>ТЭ.73.28136693.0002</v>
      </c>
      <c r="N131" s="1287" t="s">
        <v>1871</v>
      </c>
      <c r="O131" s="1287"/>
      <c r="P131" s="1287"/>
      <c r="Q131" s="1287"/>
      <c r="R131" s="1287"/>
      <c r="S131" s="1287"/>
      <c r="T131" s="805" cm="1" t="str">
        <f t="array" ref="T131:T131">T130</f>
        <v>true</v>
      </c>
      <c r="U131" s="1437"/>
      <c r="V131" s="1437"/>
      <c r="W131" s="1437"/>
      <c r="X131" s="1437"/>
      <c r="Y131" s="1437"/>
      <c r="Z131" s="1437"/>
      <c r="AA131" s="227"/>
      <c r="AB131" s="857" t="s">
        <v>707</v>
      </c>
      <c r="AC131" s="999" t="s">
        <v>1872</v>
      </c>
      <c r="AD131" s="857" t="s">
        <v>986</v>
      </c>
      <c r="AE131" s="1981"/>
      <c r="AF131" s="1981"/>
      <c r="AG131" s="1981"/>
      <c r="AH131" s="307">
        <f>AG131-AF131</f>
        <v>0</v>
      </c>
      <c r="AI131" s="1981"/>
      <c r="AJ131" s="614"/>
      <c r="AK131" s="614"/>
      <c r="AL131" s="307">
        <f>IF(AI131=0,0,(AK131-AI131)/AI131*100)</f>
        <v>0</v>
      </c>
      <c r="AM131" s="1792"/>
      <c r="AN131" s="1792"/>
      <c r="AO131" s="1792"/>
      <c r="AP131" s="227"/>
      <c r="AQ131" s="227"/>
      <c r="AR131" s="1231" t="s">
        <v>1873</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M10558::ТЭ.73.28136693.0002::Неопределено::110.0.42.::Неопределено::Неопределено::Неопределено::Неопределено::Неопределено</v>
      </c>
    </row>
    <row s="1642" customFormat="1" customHeight="1" ht="16.5">
      <c r="A132" s="1184"/>
      <c r="B132" s="925"/>
      <c r="C132" s="1299" t="s">
        <v>1767</v>
      </c>
      <c r="D132" s="1258" t="s">
        <v>1768</v>
      </c>
      <c r="E132" s="794">
        <v>17.1</v>
      </c>
      <c r="F132" s="920" cm="1" t="str">
        <f t="array" ref="F132:F132">OFFSET(G132,-1,-1)</f>
        <v>1</v>
      </c>
      <c r="G132" s="227"/>
      <c r="H132" s="227"/>
      <c r="I132" s="227"/>
      <c r="J132" s="227"/>
      <c r="K132" s="227"/>
      <c r="L132" s="1287"/>
      <c r="M132" s="1285" cm="1" t="str">
        <f t="array" ref="M132:M132">OFFSET(L132,-1,1)</f>
        <v>ТЭ.73.28136693.0002</v>
      </c>
      <c r="N132" s="1287"/>
      <c r="O132" s="1287"/>
      <c r="P132" s="1287"/>
      <c r="Q132" s="1287" t="s">
        <v>1874</v>
      </c>
      <c r="R132" s="1287"/>
      <c r="S132" s="1287"/>
      <c r="T132" s="805" cm="1" t="str">
        <f t="array" ref="T132:T132">T131</f>
        <v>true</v>
      </c>
      <c r="U132" s="1437"/>
      <c r="V132" s="1437"/>
      <c r="W132" s="1437"/>
      <c r="X132" s="1437"/>
      <c r="Y132" s="1437"/>
      <c r="Z132" s="1437"/>
      <c r="AA132" s="227"/>
      <c r="AB132" s="857" t="s">
        <v>1875</v>
      </c>
      <c r="AC132" s="999" t="s">
        <v>1876</v>
      </c>
      <c r="AD132" s="857" t="s">
        <v>986</v>
      </c>
      <c r="AE132" s="1981"/>
      <c r="AF132" s="1981"/>
      <c r="AG132" s="1981"/>
      <c r="AH132" s="307">
        <f>AG132-AF132</f>
        <v>0</v>
      </c>
      <c r="AI132" s="1981"/>
      <c r="AJ132" s="614"/>
      <c r="AK132" s="614"/>
      <c r="AL132" s="307">
        <f>IF(AI132=0,0,(AK132-AI132)/AI132*100)</f>
        <v>0</v>
      </c>
      <c r="AM132" s="1792"/>
      <c r="AN132" s="1792"/>
      <c r="AO132" s="1792"/>
      <c r="AP132" s="227"/>
      <c r="AQ132" s="227"/>
      <c r="AR132" s="1231" t="s">
        <v>1877</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M10558::ТЭ.73.28136693.0002::Неопределено::Неопределено::Неопределено::Неопределено::2.0.48.::Неопределено::Неопределено</v>
      </c>
    </row>
    <row s="1642" customFormat="1" customHeight="1" ht="16.5">
      <c r="A133" s="1184"/>
      <c r="B133" s="925"/>
      <c r="C133" s="1299" t="s">
        <v>1767</v>
      </c>
      <c r="D133" s="1258" t="s">
        <v>1768</v>
      </c>
      <c r="E133" s="794">
        <v>17.1</v>
      </c>
      <c r="F133" s="920" cm="1" t="str">
        <f t="array" ref="F133:F133">OFFSET(G133,-1,-1)</f>
        <v>1</v>
      </c>
      <c r="G133" s="227"/>
      <c r="H133" s="227"/>
      <c r="I133" s="227"/>
      <c r="J133" s="227"/>
      <c r="K133" s="227"/>
      <c r="L133" s="1287" t="s">
        <v>1827</v>
      </c>
      <c r="M133" s="1285" cm="1" t="str">
        <f t="array" ref="M133:M133">OFFSET(L133,-1,1)</f>
        <v>ТЭ.73.28136693.0002</v>
      </c>
      <c r="N133" s="1287" t="s">
        <v>1854</v>
      </c>
      <c r="O133" s="1287"/>
      <c r="P133" s="1287"/>
      <c r="Q133" s="1287"/>
      <c r="R133" s="1287"/>
      <c r="S133" s="1287"/>
      <c r="T133" s="805" cm="1" t="str">
        <f t="array" ref="T133:T133">T132</f>
        <v>true</v>
      </c>
      <c r="U133" s="1437"/>
      <c r="V133" s="1437"/>
      <c r="W133" s="1437"/>
      <c r="X133" s="1437"/>
      <c r="Y133" s="1437"/>
      <c r="Z133" s="1437"/>
      <c r="AA133" s="227"/>
      <c r="AB133" s="857" t="s">
        <v>1878</v>
      </c>
      <c r="AC133" s="999" t="s">
        <v>1232</v>
      </c>
      <c r="AD133" s="857" t="s">
        <v>986</v>
      </c>
      <c r="AE133" s="1981"/>
      <c r="AF133" s="1981"/>
      <c r="AG133" s="1981"/>
      <c r="AH133" s="307">
        <f>AG133-AF133</f>
        <v>0</v>
      </c>
      <c r="AI133" s="1981"/>
      <c r="AJ133" s="614"/>
      <c r="AK133" s="614"/>
      <c r="AL133" s="307">
        <f>IF(AI133=0,0,(AK133-AI133)/AI133*100)</f>
        <v>0</v>
      </c>
      <c r="AM133" s="1792"/>
      <c r="AN133" s="1792"/>
      <c r="AO133" s="1792"/>
      <c r="AP133" s="227"/>
      <c r="AQ133" s="227"/>
      <c r="AR133" s="1231" t="s">
        <v>1879</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M10558::ТЭ.73.28136693.0002::1.0.49.::110.0.32.::Неопределено::Неопределено::Неопределено::Неопределено::Неопределено</v>
      </c>
    </row>
    <row s="1642" customFormat="1" customHeight="1" ht="16.5">
      <c r="A134" s="1184"/>
      <c r="B134" s="925"/>
      <c r="C134" s="1299" t="s">
        <v>1767</v>
      </c>
      <c r="D134" s="1258" t="s">
        <v>1768</v>
      </c>
      <c r="E134" s="794">
        <v>17.1</v>
      </c>
      <c r="F134" s="920" cm="1" t="str">
        <f t="array" ref="F134:F134">OFFSET(G134,-1,-1)</f>
        <v>1</v>
      </c>
      <c r="G134" s="736" t="s">
        <v>1226</v>
      </c>
      <c r="H134" s="227"/>
      <c r="I134" s="227"/>
      <c r="J134" s="227"/>
      <c r="K134" s="227"/>
      <c r="L134" s="1287" t="s">
        <v>1880</v>
      </c>
      <c r="M134" s="1285" cm="1" t="str">
        <f t="array" ref="M134:M134">OFFSET(L134,-1,1)</f>
        <v>ТЭ.73.28136693.0002</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1344</v>
      </c>
      <c r="AD134" s="884" t="s">
        <v>986</v>
      </c>
      <c r="AE134" s="612">
        <f>_xlfn.SUMIFS(Налоги!AE$26:AE$57,Налоги!$F$26:$F$57,$F134,Налоги!$G$26:$G$57,$G134)</f>
        <v>0</v>
      </c>
      <c r="AF134" s="612">
        <f>_xlfn.SUMIFS(Налоги!AF$26:AF$57,Налоги!$F$26:$F$57,$F134,Налоги!$G$26:$G$57,$G134)</f>
        <v>0</v>
      </c>
      <c r="AG134" s="612">
        <f>_xlfn.SUMIFS(Налоги!AG$26:AG$57,Налоги!$F$26:$F$57,$F134,Налоги!$G$26:$G$57,$G134)</f>
        <v>0</v>
      </c>
      <c r="AH134" s="307">
        <f>AG134-AF134</f>
        <v>0</v>
      </c>
      <c r="AI134" s="612">
        <f>_xlfn.SUMIFS(Налоги!AH$26:AH$57,Налоги!$F$26:$F$57,$F134,Налоги!$G$26:$G$57,$G134)</f>
        <v>0</v>
      </c>
      <c r="AJ134" s="612">
        <f>_xlfn.SUMIFS(Налоги!AI$26:AI$57,Налоги!$F$26:$F$57,$F134,Налоги!$G$26:$G$57,$G134)</f>
        <v>0</v>
      </c>
      <c r="AK134" s="612">
        <f>_xlfn.SUMIFS(Налоги!AS$26:AS$57,Налоги!$F$26:$F$57,$F134,Налоги!$G$26:$G$57,$G134)</f>
        <v>0</v>
      </c>
      <c r="AL134" s="307">
        <f>IF(AI134=0,0,(AK134-AI134)/AI134*100)</f>
        <v>0</v>
      </c>
      <c r="AM134" s="1792"/>
      <c r="AN134" s="1792"/>
      <c r="AO134" s="1792"/>
      <c r="AP134" s="227"/>
      <c r="AQ134" s="227"/>
      <c r="AR134" s="1231" t="s">
        <v>566</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M10558::ТЭ.73.28136693.0002::1.0.91.::Неопределено::Неопределено::Неопределено::Неопределено::Неопределено::Неопределено</v>
      </c>
    </row>
    <row s="1642" customFormat="1" customHeight="1" ht="33.75">
      <c r="A135" s="1184"/>
      <c r="B135" s="925"/>
      <c r="C135" s="1299" t="s">
        <v>1633</v>
      </c>
      <c r="D135" s="1258" t="s">
        <v>1634</v>
      </c>
      <c r="E135" s="794">
        <v>35</v>
      </c>
      <c r="F135" s="920" cm="1" t="str">
        <f t="array" ref="F135:F135">OFFSET(G135,-1,-1)</f>
        <v>1</v>
      </c>
      <c r="G135" s="227"/>
      <c r="H135" s="227"/>
      <c r="I135" s="227"/>
      <c r="J135" s="227"/>
      <c r="K135" s="227"/>
      <c r="L135" s="1287"/>
      <c r="M135" s="1285" cm="1" t="str">
        <f t="array" ref="M135:M135">OFFSET(L135,-1,1)</f>
        <v>ТЭ.73.28136693.0002</v>
      </c>
      <c r="N135" s="1287" t="s">
        <v>1881</v>
      </c>
      <c r="O135" s="1287"/>
      <c r="P135" s="1287"/>
      <c r="Q135" s="1287"/>
      <c r="R135" s="1287"/>
      <c r="S135" s="1287"/>
      <c r="T135" s="805" cm="1" t="str">
        <f t="array" ref="T135:T135">T134</f>
        <v>true</v>
      </c>
      <c r="U135" s="1437"/>
      <c r="V135" s="1437"/>
      <c r="W135" s="1437"/>
      <c r="X135" s="1437"/>
      <c r="Y135" s="1437"/>
      <c r="Z135" s="1437"/>
      <c r="AA135" s="227"/>
      <c r="AB135" s="884">
        <v>5</v>
      </c>
      <c r="AC135" s="1008" t="s">
        <v>1882</v>
      </c>
      <c r="AD135" s="884" t="s">
        <v>986</v>
      </c>
      <c r="AE135" s="1981"/>
      <c r="AF135" s="1981"/>
      <c r="AG135" s="1981"/>
      <c r="AH135" s="307">
        <f>AG135-AF135</f>
        <v>0</v>
      </c>
      <c r="AI135" s="1981"/>
      <c r="AJ135" s="614"/>
      <c r="AK135" s="614"/>
      <c r="AL135" s="307">
        <f>IF(AI135=0,0,(AK135-AI135)/AI135*100)</f>
        <v>0</v>
      </c>
      <c r="AM135" s="1792"/>
      <c r="AN135" s="1792"/>
      <c r="AO135" s="1792"/>
      <c r="AP135" s="227"/>
      <c r="AQ135" s="227"/>
      <c r="AR135" s="1231" t="s">
        <v>1475</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M11281::ТЭ.73.28136693.0002::Неопределено::110.0.5.::Неопределено::Неопределено::Неопределено::Неопределено::Неопределено</v>
      </c>
    </row>
    <row s="1642" customFormat="1" customHeight="1" ht="16.5">
      <c r="A136" s="1184"/>
      <c r="B136" s="925"/>
      <c r="C136" s="1299" t="s">
        <v>1767</v>
      </c>
      <c r="D136" s="1258" t="s">
        <v>1768</v>
      </c>
      <c r="E136" s="794">
        <v>17.1</v>
      </c>
      <c r="F136" s="920" cm="1" t="str">
        <f t="array" ref="F136:F136">OFFSET(G136,-1,-1)</f>
        <v>1</v>
      </c>
      <c r="G136" s="227"/>
      <c r="H136" s="227"/>
      <c r="I136" s="227"/>
      <c r="J136" s="227"/>
      <c r="K136" s="227"/>
      <c r="L136" s="1287"/>
      <c r="M136" s="1285" cm="1" t="str">
        <f t="array" ref="M136:M136">OFFSET(L136,-1,1)</f>
        <v>ТЭ.73.28136693.0002</v>
      </c>
      <c r="N136" s="1287" t="s">
        <v>1883</v>
      </c>
      <c r="O136" s="1287"/>
      <c r="P136" s="1287"/>
      <c r="Q136" s="1287"/>
      <c r="R136" s="1287"/>
      <c r="S136" s="1287"/>
      <c r="T136" s="805" cm="1" t="str">
        <f t="array" ref="T136:T136">T135</f>
        <v>true</v>
      </c>
      <c r="U136" s="1437"/>
      <c r="V136" s="1437"/>
      <c r="W136" s="1437"/>
      <c r="X136" s="1437"/>
      <c r="Y136" s="1437"/>
      <c r="Z136" s="1437"/>
      <c r="AA136" s="227"/>
      <c r="AB136" s="884">
        <v>6</v>
      </c>
      <c r="AC136" s="1008" t="s">
        <v>1884</v>
      </c>
      <c r="AD136" s="884" t="s">
        <v>986</v>
      </c>
      <c r="AE136" s="1981"/>
      <c r="AF136" s="1981"/>
      <c r="AG136" s="1981"/>
      <c r="AH136" s="307">
        <f>AG136-AF136</f>
        <v>0</v>
      </c>
      <c r="AI136" s="1981"/>
      <c r="AJ136" s="614"/>
      <c r="AK136" s="614"/>
      <c r="AL136" s="307">
        <f>IF(AI136=0,0,(AK136-AI136)/AI136*100)</f>
        <v>0</v>
      </c>
      <c r="AM136" s="1792"/>
      <c r="AN136" s="1792"/>
      <c r="AO136" s="1792"/>
      <c r="AP136" s="227"/>
      <c r="AQ136" s="227"/>
      <c r="AR136" s="1231" t="s">
        <v>1346</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M10558::ТЭ.73.28136693.0002::Неопределено::110.0.22.::Неопределено::Неопределено::Неопределено::Неопределено::Неопределено</v>
      </c>
    </row>
    <row s="1642" customFormat="1" customHeight="1" ht="16.5">
      <c r="A137" s="1184"/>
      <c r="B137" s="925"/>
      <c r="C137" s="1299" t="s">
        <v>1661</v>
      </c>
      <c r="D137" s="1258" t="s">
        <v>1662</v>
      </c>
      <c r="E137" s="794">
        <v>17.1</v>
      </c>
      <c r="F137" s="920" cm="1" t="str">
        <f t="array" ref="F137:F137">OFFSET(G137,-1,-1)</f>
        <v>1</v>
      </c>
      <c r="G137" s="227"/>
      <c r="H137" s="227"/>
      <c r="I137" s="227"/>
      <c r="J137" s="227"/>
      <c r="K137" s="227"/>
      <c r="L137" s="1287"/>
      <c r="M137" s="1285" cm="1" t="str">
        <f t="array" ref="M137:M137">OFFSET(L137,-1,1)</f>
        <v>ТЭ.73.28136693.0002</v>
      </c>
      <c r="N137" s="1287"/>
      <c r="O137" s="1287"/>
      <c r="P137" s="1287"/>
      <c r="Q137" s="1287"/>
      <c r="R137" s="1287"/>
      <c r="S137" s="1287"/>
      <c r="T137" s="805" cm="1" t="str">
        <f t="array" ref="T137:T137">T136</f>
        <v>true</v>
      </c>
      <c r="U137" s="1437"/>
      <c r="V137" s="1437"/>
      <c r="W137" s="1437"/>
      <c r="X137" s="1437"/>
      <c r="Y137" s="1437"/>
      <c r="Z137" s="1437"/>
      <c r="AA137" s="227"/>
      <c r="AB137" s="1009" t="s">
        <v>645</v>
      </c>
      <c r="AC137" s="1010" t="s">
        <v>1664</v>
      </c>
      <c r="AD137" s="1011" t="s">
        <v>986</v>
      </c>
      <c r="AE137" s="612">
        <f>AE95+AE122+AE129+AE134+AE135+AE136</f>
        <v>2250.23</v>
      </c>
      <c r="AF137" s="612">
        <f>AF95+AF122+AF129+AF134+AF135+AF136</f>
        <v>160838.55</v>
      </c>
      <c r="AG137" s="612">
        <f>AG95+AG122+AG129+AG134+AG135+AG136</f>
        <v>143192.55</v>
      </c>
      <c r="AH137" s="307">
        <f>AG137-AF137</f>
        <v>-17646</v>
      </c>
      <c r="AI137" s="612">
        <f>AI95+AI122+AI129+AI134+AI135+AI136</f>
        <v>2247.6</v>
      </c>
      <c r="AJ137" s="612">
        <f>AJ95+AJ122+AJ129+AJ134+AJ135+AJ136</f>
        <v>313150.37887</v>
      </c>
      <c r="AK137" s="612">
        <f>AK95+AK122+AK129+AK134+AK135+AK136</f>
        <v>-5257.47</v>
      </c>
      <c r="AL137" s="307">
        <f>IF(AI137=0,0,(AK137-AI137)/AI137*100)</f>
        <v>-333.914842498665</v>
      </c>
      <c r="AM137" s="1792"/>
      <c r="AN137" s="1792"/>
      <c r="AO137" s="1792"/>
      <c r="AP137" s="227"/>
      <c r="AQ137" s="227"/>
      <c r="AR137" s="1231" t="s">
        <v>1885</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M10655::ТЭ.73.28136693.0002::Неопределено::Неопределено::Неопределено::Неопределено::Неопределено::Неопределено::Неопределено</v>
      </c>
    </row>
    <row s="1642" customFormat="1" customHeight="1" ht="48.75">
      <c r="A138" s="1184"/>
      <c r="B138" s="925"/>
      <c r="C138" s="1299" t="s">
        <v>1666</v>
      </c>
      <c r="D138" s="1258" t="s">
        <v>1667</v>
      </c>
      <c r="E138" s="794">
        <v>50</v>
      </c>
      <c r="F138" s="920" cm="1" t="str">
        <f t="array" ref="F138:F138">OFFSET(G138,-1,-1)</f>
        <v>1</v>
      </c>
      <c r="G138" s="227"/>
      <c r="H138" s="227"/>
      <c r="I138" s="227"/>
      <c r="J138" s="227"/>
      <c r="K138" s="227"/>
      <c r="L138" s="1287"/>
      <c r="M138" s="1285" cm="1" t="str">
        <f t="array" ref="M138:M138">OFFSET(L138,-1,1)</f>
        <v>ТЭ.73.28136693.0002</v>
      </c>
      <c r="N138" s="1287"/>
      <c r="O138" s="1287"/>
      <c r="P138" s="1287"/>
      <c r="Q138" s="1287"/>
      <c r="R138" s="1287"/>
      <c r="S138" s="1287"/>
      <c r="T138" s="805" cm="1" t="str">
        <f t="array" ref="T138:T138">T137</f>
        <v>true</v>
      </c>
      <c r="U138" s="1437"/>
      <c r="V138" s="1437"/>
      <c r="W138" s="1437"/>
      <c r="X138" s="1437"/>
      <c r="Y138" s="1437"/>
      <c r="Z138" s="1437"/>
      <c r="AA138" s="227"/>
      <c r="AB138" s="1012" t="s">
        <v>650</v>
      </c>
      <c r="AC138" s="1084" t="s">
        <v>1666</v>
      </c>
      <c r="AD138" s="857" t="s">
        <v>986</v>
      </c>
      <c r="AE138" s="1981"/>
      <c r="AF138" s="1981"/>
      <c r="AG138" s="1981"/>
      <c r="AH138" s="307">
        <f>AG138-AF138</f>
        <v>0</v>
      </c>
      <c r="AI138" s="1981"/>
      <c r="AJ138" s="614"/>
      <c r="AK138" s="614"/>
      <c r="AL138" s="307">
        <f>IF(AI138=0,0,(AK138-AI138)/AI138*100)</f>
        <v>0</v>
      </c>
      <c r="AM138" s="1792"/>
      <c r="AN138" s="1792"/>
      <c r="AO138" s="1792"/>
      <c r="AP138" s="227"/>
      <c r="AQ138" s="227"/>
      <c r="AR138" s="1231" t="s">
        <v>1886</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M11579::ТЭ.73.28136693.0002::Неопределено::Неопределено::Неопределено::Неопределено::Неопределено::Неопределено::Неопределено</v>
      </c>
    </row>
    <row s="1642" customFormat="1" customHeight="1" ht="16.5">
      <c r="A139" s="1184"/>
      <c r="B139" s="925"/>
      <c r="C139" s="1299" t="s">
        <v>1670</v>
      </c>
      <c r="D139" s="1258" t="s">
        <v>1671</v>
      </c>
      <c r="E139" s="794">
        <v>17.1</v>
      </c>
      <c r="F139" s="920" cm="1" t="str">
        <f t="array" ref="F139:F139">OFFSET(G139,-1,-1)</f>
        <v>1</v>
      </c>
      <c r="G139" s="227"/>
      <c r="H139" s="227"/>
      <c r="I139" s="227"/>
      <c r="J139" s="227"/>
      <c r="K139" s="227"/>
      <c r="L139" s="1287"/>
      <c r="M139" s="1285" cm="1" t="str">
        <f t="array" ref="M139:M139">OFFSET(L139,-1,1)</f>
        <v>ТЭ.73.28136693.0002</v>
      </c>
      <c r="N139" s="1287"/>
      <c r="O139" s="1287"/>
      <c r="P139" s="1287"/>
      <c r="Q139" s="1287"/>
      <c r="R139" s="1287"/>
      <c r="S139" s="1287"/>
      <c r="T139" s="805" cm="1" t="str">
        <f t="array" ref="T139:T139">T138</f>
        <v>true</v>
      </c>
      <c r="U139" s="1437"/>
      <c r="V139" s="1437"/>
      <c r="W139" s="1437"/>
      <c r="X139" s="1437"/>
      <c r="Y139" s="1437"/>
      <c r="Z139" s="1437"/>
      <c r="AA139" s="227"/>
      <c r="AB139" s="646" t="s">
        <v>658</v>
      </c>
      <c r="AC139" s="1071" t="s">
        <v>1674</v>
      </c>
      <c r="AD139" s="1013" t="s">
        <v>986</v>
      </c>
      <c r="AE139" s="612">
        <f>AE137+AE138</f>
        <v>2250.23</v>
      </c>
      <c r="AF139" s="612">
        <f>AF137+AF138</f>
        <v>160838.55</v>
      </c>
      <c r="AG139" s="612">
        <f>AG137+AG138</f>
        <v>143192.55</v>
      </c>
      <c r="AH139" s="307">
        <f>AG139-AF139</f>
        <v>-17646</v>
      </c>
      <c r="AI139" s="612">
        <f>AI137+AI138</f>
        <v>2247.6</v>
      </c>
      <c r="AJ139" s="612">
        <f>AJ137+AJ138</f>
        <v>313150.37887</v>
      </c>
      <c r="AK139" s="612">
        <f>AK137+AK138</f>
        <v>-5257.47</v>
      </c>
      <c r="AL139" s="307">
        <f>IF(AI139=0,0,(AK139-AI139)/AI139*100)</f>
        <v>-333.914842498665</v>
      </c>
      <c r="AM139" s="1792"/>
      <c r="AN139" s="1792"/>
      <c r="AO139" s="1792"/>
      <c r="AP139" s="227"/>
      <c r="AQ139" s="227"/>
      <c r="AR139" s="1231" t="s">
        <v>1887</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M11580::ТЭ.73.28136693.0002::Неопределено::Неопределено::Неопределено::Неопределено::Неопределено::Неопределено::Неопределено</v>
      </c>
    </row>
    <row s="1642" customFormat="1" customHeight="1" ht="16.5" hidden="1">
      <c r="A140" s="1184"/>
      <c r="B140" s="925"/>
      <c r="C140" s="1299" t="s">
        <v>1676</v>
      </c>
      <c r="D140" s="1258" t="s">
        <v>1677</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ТЭ.73.28136693.0002</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1679</v>
      </c>
      <c r="AD140" s="309" t="s">
        <v>799</v>
      </c>
      <c r="AE140" s="122"/>
      <c r="AF140" s="122"/>
      <c r="AG140" s="122"/>
      <c r="AH140" s="307">
        <f>AG140-AF140</f>
        <v>0</v>
      </c>
      <c r="AI140" s="122"/>
      <c r="AJ140" s="614"/>
      <c r="AK140" s="614"/>
      <c r="AL140" s="307">
        <f>IF(AI140=0,0,(AK140-AI140)/AI140*100)</f>
        <v>0</v>
      </c>
      <c r="AM140" s="74"/>
      <c r="AN140" s="74"/>
      <c r="AO140" s="74"/>
      <c r="AP140" s="227"/>
      <c r="AQ140" s="227"/>
      <c r="AR140" s="1231" t="s">
        <v>1888</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M11581::ТЭ.73.28136693.0002::Неопределено::Неопределено::Неопределено::Неопределено::Неопределено::Неопределено::Неопределено</v>
      </c>
    </row>
    <row s="1642" customFormat="1" customHeight="1" ht="16.5" hidden="1">
      <c r="A141" s="1184"/>
      <c r="B141" s="925"/>
      <c r="C141" s="1299" t="s">
        <v>1681</v>
      </c>
      <c r="D141" s="1258" t="s">
        <v>1682</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ТЭ.73.28136693.0002</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1681</v>
      </c>
      <c r="AD141" s="309" t="s">
        <v>799</v>
      </c>
      <c r="AE141" s="612">
        <f>AE139-AE140</f>
        <v>2250.23</v>
      </c>
      <c r="AF141" s="612">
        <f>AF139-AF140</f>
        <v>160838.55</v>
      </c>
      <c r="AG141" s="612">
        <f>AG139-AG140</f>
        <v>143192.55</v>
      </c>
      <c r="AH141" s="307">
        <f>AG141-AF141</f>
        <v>-17646</v>
      </c>
      <c r="AI141" s="612">
        <f>AI139-AI140</f>
        <v>2247.6</v>
      </c>
      <c r="AJ141" s="612">
        <f>AJ139-AJ140</f>
        <v>313150.37887</v>
      </c>
      <c r="AK141" s="612">
        <f>AK139-AK140</f>
        <v>-5257.47</v>
      </c>
      <c r="AL141" s="307">
        <f>IF(AI141=0,0,(AK141-AI141)/AI141*100)</f>
        <v>-333.914842498665</v>
      </c>
      <c r="AM141" s="74"/>
      <c r="AN141" s="74"/>
      <c r="AO141" s="74"/>
      <c r="AP141" s="227"/>
      <c r="AQ141" s="227"/>
      <c r="AR141" s="1231" t="s">
        <v>1889</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M11582::ТЭ.73.28136693.0002::Неопределено::Неопределено::Неопределено::Неопределено::Неопределено::Неопределено::Неопределено</v>
      </c>
    </row>
    <row s="1642" customFormat="1" customHeight="1" ht="16.5">
      <c r="A142" s="1184"/>
      <c r="B142" s="925"/>
      <c r="C142" s="1299" t="s">
        <v>1684</v>
      </c>
      <c r="D142" s="1258" t="s">
        <v>1685</v>
      </c>
      <c r="E142" s="794">
        <v>17.1</v>
      </c>
      <c r="F142" s="920" cm="1" t="str">
        <f t="array" ref="F142:F142">OFFSET(G142,-1,-1)</f>
        <v>1</v>
      </c>
      <c r="G142" s="227"/>
      <c r="H142" s="227"/>
      <c r="I142" s="227"/>
      <c r="J142" s="227"/>
      <c r="K142" s="227"/>
      <c r="L142" s="1287"/>
      <c r="M142" s="1285" cm="1" t="str">
        <f t="array" ref="M142:M142">OFFSET(L142,-1,1)</f>
        <v>ТЭ.73.28136693.0002</v>
      </c>
      <c r="N142" s="1287"/>
      <c r="O142" s="1287"/>
      <c r="P142" s="1287"/>
      <c r="Q142" s="1287"/>
      <c r="R142" s="1287"/>
      <c r="S142" s="1287"/>
      <c r="T142" s="805" cm="1" t="str">
        <f t="array" ref="T142:T142">T139</f>
        <v>true</v>
      </c>
      <c r="U142" s="1437"/>
      <c r="V142" s="1437"/>
      <c r="W142" s="1437"/>
      <c r="X142" s="1437"/>
      <c r="Y142" s="1437"/>
      <c r="Z142" s="1437"/>
      <c r="AA142" s="227"/>
      <c r="AB142" s="314" t="s">
        <v>682</v>
      </c>
      <c r="AC142" s="310" t="s">
        <v>1687</v>
      </c>
      <c r="AD142" s="315" t="s">
        <v>586</v>
      </c>
      <c r="AE142" s="307">
        <f>IF($K94="передача тепловой энергии",_xlfn.SUMIFS('Баланс Тр'!AE$27:AE$43,'Баланс Тр'!$F$27:$F$43,$F142,'Баланс Тр'!$AB$27:$AB$43,"3"),_xlfn.SUMIFS('Баланс Пр'!AE$27:AE$165,'Баланс Пр'!$F$27:$F$165,$F142,'Баланс Пр'!$AB$27:$AB$165,"9.1"))</f>
        <v>331148.67</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331148.67</v>
      </c>
      <c r="AJ142" s="307">
        <f>IF($K94="передача тепловой энергии",_xlfn.SUMIFS('Баланс Тр'!AI$27:AI$43,'Баланс Тр'!$F$27:$F$43,$F142,'Баланс Тр'!$AB$27:$AB$43,"3"),_xlfn.SUMIFS('Баланс Пр'!AI$27:AI$165,'Баланс Пр'!$F$27:$F$165,$F142,'Баланс Пр'!$AB$27:$AB$165,"9.1"))</f>
        <v>324202.83797</v>
      </c>
      <c r="AK142" s="307">
        <f>IF($K94="передача тепловой энергии",_xlfn.SUMIFS('Баланс Тр'!AS$27:AS$43,'Баланс Тр'!$F$27:$F$43,$F142,'Баланс Тр'!$AB$27:$AB$43,"3"),_xlfn.SUMIFS('Баланс Пр'!AS$27:AS$165,'Баланс Пр'!$F$27:$F$165,$F142,'Баланс Пр'!$AB$27:$AB$165,"9.1"))</f>
        <v>331148.67</v>
      </c>
      <c r="AL142" s="307">
        <f>IF(AI142=0,0,(AK142-AI142)/AI142*100)</f>
        <v>0</v>
      </c>
      <c r="AM142" s="1792"/>
      <c r="AN142" s="1792"/>
      <c r="AO142" s="1792"/>
      <c r="AP142" s="227"/>
      <c r="AQ142" s="227"/>
      <c r="AR142" s="1231" t="s">
        <v>1688</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M10502::ТЭ.73.28136693.0002::Неопределено::Неопределено::Неопределено::Неопределено::Неопределено::Неопределено::Неопределено</v>
      </c>
    </row>
    <row s="2025" customFormat="1" customHeight="1" ht="16.5">
      <c r="A143" s="232"/>
      <c r="B143" s="232"/>
      <c r="C143" s="1299" t="s">
        <v>1689</v>
      </c>
      <c r="D143" s="1258" t="s">
        <v>1690</v>
      </c>
      <c r="E143" s="794">
        <v>17.1</v>
      </c>
      <c r="F143" s="920" cm="1" t="str">
        <f t="array" ref="F143:F143">OFFSET(G143,-1,-1)</f>
        <v>1</v>
      </c>
      <c r="G143" s="190" t="s">
        <v>1691</v>
      </c>
      <c r="H143" s="232"/>
      <c r="I143" s="232"/>
      <c r="J143" s="232"/>
      <c r="K143" s="232"/>
      <c r="L143" s="1295"/>
      <c r="M143" s="1285" cm="1" t="str">
        <f t="array" ref="M143:M143">OFFSET(L143,-1,1)</f>
        <v>ТЭ.73.28136693.0002</v>
      </c>
      <c r="N143" s="1295"/>
      <c r="O143" s="1295"/>
      <c r="P143" s="1295"/>
      <c r="Q143" s="1287"/>
      <c r="R143" s="1287"/>
      <c r="S143" s="1287" t="s">
        <v>1692</v>
      </c>
      <c r="T143" s="805" cm="1" t="str">
        <f t="array" ref="T143:T143">T142</f>
        <v>true</v>
      </c>
      <c r="U143" s="232"/>
      <c r="V143" s="232"/>
      <c r="W143" s="232"/>
      <c r="X143" s="232"/>
      <c r="Y143" s="232"/>
      <c r="Z143" s="232"/>
      <c r="AA143" s="232"/>
      <c r="AB143" s="660" t="str">
        <f>AB142&amp;".1"</f>
        <v>10.1</v>
      </c>
      <c r="AC143" s="286" t="s">
        <v>1693</v>
      </c>
      <c r="AD143" s="309" t="s">
        <v>586</v>
      </c>
      <c r="AE143" s="1981"/>
      <c r="AF143" s="613"/>
      <c r="AG143" s="613"/>
      <c r="AH143" s="374"/>
      <c r="AI143" s="1981"/>
      <c r="AJ143" s="614"/>
      <c r="AK143" s="614"/>
      <c r="AL143" s="307">
        <f>IF(AI143=0,0,(AK143-AI143)/AI143*100)</f>
        <v>0</v>
      </c>
      <c r="AM143" s="1792"/>
      <c r="AN143" s="1792"/>
      <c r="AO143" s="1792"/>
      <c r="AP143" s="232"/>
      <c r="AQ143" s="232"/>
      <c r="AR143" s="1231" t="s">
        <v>1694</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M10670::ТЭ.73.28136693.0002::Неопределено::Неопределено::Неопределено::Неопределено::Неопределено::Неопределено::8.0.3.</v>
      </c>
    </row>
    <row s="2026" customFormat="1" customHeight="1" ht="16.5">
      <c r="A144" s="232"/>
      <c r="B144" s="232"/>
      <c r="C144" s="1299" t="s">
        <v>1695</v>
      </c>
      <c r="D144" s="1258" t="s">
        <v>1696</v>
      </c>
      <c r="E144" s="794">
        <v>17.1</v>
      </c>
      <c r="F144" s="920" cm="1" t="str">
        <f t="array" ref="F144:F144">OFFSET(G144,-1,-1)</f>
        <v>1</v>
      </c>
      <c r="G144" s="736" t="s">
        <v>1697</v>
      </c>
      <c r="H144" s="232"/>
      <c r="I144" s="232"/>
      <c r="J144" s="232"/>
      <c r="K144" s="232"/>
      <c r="L144" s="1295"/>
      <c r="M144" s="1285" cm="1" t="str">
        <f t="array" ref="M144:M144">OFFSET(L144,-1,1)</f>
        <v>ТЭ.73.28136693.0002</v>
      </c>
      <c r="N144" s="1295"/>
      <c r="O144" s="1295"/>
      <c r="P144" s="1295"/>
      <c r="Q144" s="1287"/>
      <c r="R144" s="1287"/>
      <c r="S144" s="1287" t="s">
        <v>1692</v>
      </c>
      <c r="T144" s="805" cm="1" t="str">
        <f t="array" ref="T144:T144">T143</f>
        <v>true</v>
      </c>
      <c r="U144" s="232"/>
      <c r="V144" s="232"/>
      <c r="W144" s="232"/>
      <c r="X144" s="232"/>
      <c r="Y144" s="232"/>
      <c r="Z144" s="232"/>
      <c r="AA144" s="232"/>
      <c r="AB144" s="660" t="str">
        <f>AB142&amp;".2"</f>
        <v>10.2</v>
      </c>
      <c r="AC144" s="286" t="s">
        <v>1698</v>
      </c>
      <c r="AD144" s="309" t="s">
        <v>889</v>
      </c>
      <c r="AE144" s="1981"/>
      <c r="AF144" s="613"/>
      <c r="AG144" s="613"/>
      <c r="AH144" s="374"/>
      <c r="AI144" s="1981"/>
      <c r="AJ144" s="614"/>
      <c r="AK144" s="614"/>
      <c r="AL144" s="307">
        <f>IF(AI144=0,0,(AK144-AI144)/AI144*100)</f>
        <v>0</v>
      </c>
      <c r="AM144" s="1792"/>
      <c r="AN144" s="1792"/>
      <c r="AO144" s="1792"/>
      <c r="AP144" s="232"/>
      <c r="AQ144" s="232"/>
      <c r="AR144" s="1231" t="s">
        <v>1699</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M10546::ТЭ.73.28136693.0002::Неопределено::Неопределено::Неопределено::Неопределено::Неопределено::Неопределено::8.0.3.</v>
      </c>
    </row>
    <row s="1642" customFormat="1" customHeight="1" ht="16.5">
      <c r="A145" s="1184"/>
      <c r="B145" s="925"/>
      <c r="C145" s="1299" t="s">
        <v>1689</v>
      </c>
      <c r="D145" s="1258" t="s">
        <v>1690</v>
      </c>
      <c r="E145" s="794">
        <v>17.1</v>
      </c>
      <c r="F145" s="920" cm="1" t="str">
        <f t="array" ref="F145:F145">OFFSET(G145,-1,-1)</f>
        <v>1</v>
      </c>
      <c r="G145" s="190" t="s">
        <v>1700</v>
      </c>
      <c r="H145" s="227"/>
      <c r="I145" s="227"/>
      <c r="J145" s="227"/>
      <c r="K145" s="227"/>
      <c r="L145" s="1287"/>
      <c r="M145" s="1285" cm="1" t="str">
        <f t="array" ref="M145:M145">OFFSET(L145,-1,1)</f>
        <v>ТЭ.73.28136693.0002</v>
      </c>
      <c r="N145" s="1287"/>
      <c r="O145" s="1287"/>
      <c r="P145" s="1287"/>
      <c r="Q145" s="1287"/>
      <c r="R145" s="1287"/>
      <c r="S145" s="1287" t="s">
        <v>1701</v>
      </c>
      <c r="T145" s="805" cm="1" t="str">
        <f t="array" ref="T145:T145">T144</f>
        <v>true</v>
      </c>
      <c r="U145" s="1437"/>
      <c r="V145" s="1437"/>
      <c r="W145" s="1437"/>
      <c r="X145" s="1437"/>
      <c r="Y145" s="1437"/>
      <c r="Z145" s="1437"/>
      <c r="AA145" s="227"/>
      <c r="AB145" s="660" t="str">
        <f>AB142&amp;".3"</f>
        <v>10.3</v>
      </c>
      <c r="AC145" s="286" t="s">
        <v>1702</v>
      </c>
      <c r="AD145" s="309" t="s">
        <v>586</v>
      </c>
      <c r="AE145" s="1019">
        <f>AE142-AE143</f>
        <v>331148.67</v>
      </c>
      <c r="AF145" s="613"/>
      <c r="AG145" s="613"/>
      <c r="AH145" s="374"/>
      <c r="AI145" s="1019">
        <f>AI142-AI143</f>
        <v>331148.67</v>
      </c>
      <c r="AJ145" s="1019">
        <f>AJ142-AJ143</f>
        <v>324202.83797</v>
      </c>
      <c r="AK145" s="1019">
        <f>AK142-AK143</f>
        <v>331148.67</v>
      </c>
      <c r="AL145" s="307">
        <f>IF(AI145=0,0,(AK145-AI145)/AI145*100)</f>
        <v>0</v>
      </c>
      <c r="AM145" s="1953"/>
      <c r="AN145" s="1953"/>
      <c r="AO145" s="1953"/>
      <c r="AP145" s="227"/>
      <c r="AQ145" s="227"/>
      <c r="AR145" s="1231" t="s">
        <v>1703</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M10670::ТЭ.73.28136693.0002::Неопределено::Неопределено::Неопределено::Неопределено::Неопределено::Неопределено::8.0.5.</v>
      </c>
    </row>
    <row s="1642" customFormat="1" customHeight="1" ht="16.5">
      <c r="A146" s="1184"/>
      <c r="B146" s="925"/>
      <c r="C146" s="1299" t="s">
        <v>1695</v>
      </c>
      <c r="D146" s="1258" t="s">
        <v>1696</v>
      </c>
      <c r="E146" s="794">
        <v>17.1</v>
      </c>
      <c r="F146" s="920" cm="1" t="str">
        <f t="array" ref="F146:F146">OFFSET(G146,-1,-1)</f>
        <v>1</v>
      </c>
      <c r="G146" s="736" t="s">
        <v>1704</v>
      </c>
      <c r="H146" s="227"/>
      <c r="I146" s="227"/>
      <c r="J146" s="227"/>
      <c r="K146" s="227"/>
      <c r="L146" s="1287"/>
      <c r="M146" s="1285" cm="1" t="str">
        <f t="array" ref="M146:M146">OFFSET(L146,-1,1)</f>
        <v>ТЭ.73.28136693.0002</v>
      </c>
      <c r="N146" s="1287"/>
      <c r="O146" s="1287"/>
      <c r="P146" s="1287"/>
      <c r="Q146" s="1287"/>
      <c r="R146" s="1287"/>
      <c r="S146" s="1287" t="s">
        <v>1701</v>
      </c>
      <c r="T146" s="805" cm="1" t="str">
        <f t="array" ref="T146:T146">T145</f>
        <v>true</v>
      </c>
      <c r="U146" s="1437"/>
      <c r="V146" s="1437"/>
      <c r="W146" s="1437"/>
      <c r="X146" s="1437"/>
      <c r="Y146" s="1437"/>
      <c r="Z146" s="1437"/>
      <c r="AA146" s="227"/>
      <c r="AB146" s="660" t="str">
        <f>AB142&amp;".4"</f>
        <v>10.4</v>
      </c>
      <c r="AC146" s="286" t="s">
        <v>1705</v>
      </c>
      <c r="AD146" s="309" t="s">
        <v>889</v>
      </c>
      <c r="AE146" s="1981">
        <f>_xlfn.IFERROR((AE139*1000-AE143*AE144)/AE145,0)</f>
        <v>6.79522584221764</v>
      </c>
      <c r="AF146" s="613"/>
      <c r="AG146" s="613"/>
      <c r="AH146" s="374"/>
      <c r="AI146" s="1981">
        <f>_xlfn.IFERROR((AI139*1000-AI143*AI144)/AI145,0)</f>
        <v>6.7872837900874</v>
      </c>
      <c r="AJ146" s="614">
        <f>_xlfn.IFERROR((AJ139*1000-AJ143*AJ144)/AJ145,0)</f>
        <v>965.908814465644</v>
      </c>
      <c r="AK146" s="614">
        <f>_xlfn.IFERROR((AK139*1000-AK143*AK144)/AK145,0)</f>
        <v>-15.8764641875204</v>
      </c>
      <c r="AL146" s="307">
        <f>IF(AI146=0,0,(AK146-AI146)/AI146*100)</f>
        <v>-333.914842498666</v>
      </c>
      <c r="AM146" s="1864"/>
      <c r="AN146" s="1864"/>
      <c r="AO146" s="1864"/>
      <c r="AP146" s="227"/>
      <c r="AQ146" s="227"/>
      <c r="AR146" s="1231" t="s">
        <v>1706</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M10546::ТЭ.73.28136693.0002::Неопределено::Неопределено::Неопределено::Неопределено::Неопределено::Неопределено::8.0.5.</v>
      </c>
    </row>
    <row s="2027" customFormat="1" customHeight="1" ht="16.5">
      <c r="A147" s="643"/>
      <c r="B147" s="643"/>
      <c r="C147" s="1299" t="s">
        <v>1707</v>
      </c>
      <c r="D147" s="1258" t="s">
        <v>1708</v>
      </c>
      <c r="E147" s="794">
        <v>17.1</v>
      </c>
      <c r="F147" s="920" cm="1" t="str">
        <f t="array" ref="F147:F147">OFFSET(G147,-1,-1)</f>
        <v>1</v>
      </c>
      <c r="G147" s="643"/>
      <c r="H147" s="643"/>
      <c r="I147" s="643"/>
      <c r="J147" s="643"/>
      <c r="K147" s="643"/>
      <c r="L147" s="1287"/>
      <c r="M147" s="1285" cm="1" t="str">
        <f t="array" ref="M147:M147">OFFSET(L147,-1,1)</f>
        <v>ТЭ.73.28136693.0002</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1709</v>
      </c>
      <c r="AD147" s="309" t="s">
        <v>485</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1710</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M11244::ТЭ.73.28136693.0002::Неопределено::Неопределено::Неопределено::Неопределено::Неопределено::Неопределено::Неопределено</v>
      </c>
    </row>
    <row s="1642" customFormat="1" customHeight="1" ht="16.5">
      <c r="A148" s="1184"/>
      <c r="B148" s="925"/>
      <c r="C148" s="1299" t="s">
        <v>1711</v>
      </c>
      <c r="D148" s="1258" t="s">
        <v>1712</v>
      </c>
      <c r="E148" s="794">
        <v>17.1</v>
      </c>
      <c r="F148" s="920" cm="1" t="str">
        <f t="array" ref="F148:F148">OFFSET(G148,-1,-1)</f>
        <v>1</v>
      </c>
      <c r="G148" s="227"/>
      <c r="H148" s="227"/>
      <c r="I148" s="227"/>
      <c r="J148" s="227"/>
      <c r="K148" s="227"/>
      <c r="L148" s="1287"/>
      <c r="M148" s="1285" cm="1" t="str">
        <f t="array" ref="M148:M148">OFFSET(L148,-1,1)</f>
        <v>ТЭ.73.28136693.0002</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1713</v>
      </c>
      <c r="AD148" s="309" t="s">
        <v>889</v>
      </c>
      <c r="AE148" s="1019">
        <f>_xlfn.IFERROR(AE139/AE142*1000,0)</f>
        <v>6.79522584221764</v>
      </c>
      <c r="AF148" s="613"/>
      <c r="AG148" s="613"/>
      <c r="AH148" s="374"/>
      <c r="AI148" s="1019">
        <f>_xlfn.IFERROR(AI139/AI142*1000,0)</f>
        <v>6.7872837900874</v>
      </c>
      <c r="AJ148" s="1019">
        <f>_xlfn.IFERROR(AJ139/AJ142*1000,0)</f>
        <v>965.908814465644</v>
      </c>
      <c r="AK148" s="1019">
        <f>_xlfn.IFERROR(AK139/AK142*1000,0)</f>
        <v>-15.8764641875204</v>
      </c>
      <c r="AL148" s="307">
        <f>IF(AI148=0,0,(AK148-AI148)/AI148*100)</f>
        <v>-333.914842498666</v>
      </c>
      <c r="AM148" s="1864"/>
      <c r="AN148" s="1864"/>
      <c r="AO148" s="1864"/>
      <c r="AP148" s="227"/>
      <c r="AQ148" s="227"/>
      <c r="AR148" s="1231" t="s">
        <v>1714</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M10552::ТЭ.73.28136693.0002::Неопределено::Неопределено::Неопределено::Неопределено::Неопределено::Неопределено::Неопределено</v>
      </c>
    </row>
    <row s="2028" customFormat="1" customHeight="1" ht="16.5" hidden="1">
      <c r="A149" s="643"/>
      <c r="B149" s="643"/>
      <c r="C149" s="1299" t="s">
        <v>1715</v>
      </c>
      <c r="D149" s="1258" t="s">
        <v>1716</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ТЭ.73.28136693.0002</v>
      </c>
      <c r="N149" s="1287"/>
      <c r="O149" s="1287"/>
      <c r="P149" s="1287"/>
      <c r="Q149" s="1287"/>
      <c r="R149" s="1287"/>
      <c r="S149" s="1287"/>
      <c r="T149" s="805">
        <f>AND(F149&gt;0,H149="двухставочный")</f>
        <v>0</v>
      </c>
      <c r="U149" s="643"/>
      <c r="V149" s="643"/>
      <c r="W149" s="643"/>
      <c r="X149" s="643"/>
      <c r="Y149" s="643"/>
      <c r="Z149" s="643"/>
      <c r="AA149" s="643"/>
      <c r="AB149" s="314" t="s">
        <v>690</v>
      </c>
      <c r="AC149" s="887" t="s">
        <v>1718</v>
      </c>
      <c r="AD149" s="664" t="s">
        <v>684</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685</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M10476::ТЭ.73.28136693.0002::Неопределено::Неопределено::Неопределено::Неопределено::Неопределено::Неопределено::Неопределено</v>
      </c>
    </row>
    <row s="1642" customFormat="1" customHeight="1" ht="16.5" hidden="1">
      <c r="A150" s="1184"/>
      <c r="B150" s="925"/>
      <c r="C150" s="1299" t="s">
        <v>1715</v>
      </c>
      <c r="D150" s="1258" t="s">
        <v>1716</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ТЭ.73.28136693.0002</v>
      </c>
      <c r="N150" s="1287"/>
      <c r="O150" s="1287"/>
      <c r="P150" s="1287"/>
      <c r="Q150" s="1287"/>
      <c r="R150" s="1287"/>
      <c r="S150" s="1287" t="s">
        <v>1692</v>
      </c>
      <c r="T150" s="805">
        <f>AND(F150&gt;0,H150="двухставочный")</f>
        <v>0</v>
      </c>
      <c r="U150" s="1437"/>
      <c r="V150" s="1437"/>
      <c r="W150" s="1437"/>
      <c r="X150" s="1437"/>
      <c r="Y150" s="1437"/>
      <c r="Z150" s="1437"/>
      <c r="AA150" s="227"/>
      <c r="AB150" s="660" t="str">
        <f>AB149&amp;".1"</f>
        <v>11.1</v>
      </c>
      <c r="AC150" s="720" t="s">
        <v>1720</v>
      </c>
      <c r="AD150" s="620" t="s">
        <v>684</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1721</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M10476::ТЭ.73.28136693.0002::Неопределено::Неопределено::Неопределено::Неопределено::Неопределено::Неопределено::8.0.3.</v>
      </c>
    </row>
    <row s="1642" customFormat="1" customHeight="1" ht="16.5" hidden="1">
      <c r="A151" s="1184"/>
      <c r="B151" s="925"/>
      <c r="C151" s="1299" t="s">
        <v>1715</v>
      </c>
      <c r="D151" s="1258" t="s">
        <v>1716</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ТЭ.73.28136693.0002</v>
      </c>
      <c r="N151" s="1287"/>
      <c r="O151" s="1287"/>
      <c r="P151" s="1287"/>
      <c r="Q151" s="1287"/>
      <c r="R151" s="1287"/>
      <c r="S151" s="1287" t="s">
        <v>1701</v>
      </c>
      <c r="T151" s="805">
        <f>AND(F151&gt;0,H151="двухставочный")</f>
        <v>0</v>
      </c>
      <c r="U151" s="1437"/>
      <c r="V151" s="1437"/>
      <c r="W151" s="1437"/>
      <c r="X151" s="1437"/>
      <c r="Y151" s="1437"/>
      <c r="Z151" s="1437"/>
      <c r="AA151" s="227"/>
      <c r="AB151" s="660" t="str">
        <f>AB149&amp;".2"</f>
        <v>11.2</v>
      </c>
      <c r="AC151" s="720" t="s">
        <v>1723</v>
      </c>
      <c r="AD151" s="620" t="s">
        <v>684</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1724</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M10476::ТЭ.73.28136693.0002::Неопределено::Неопределено::Неопределено::Неопределено::Неопределено::Неопределено::8.0.5.</v>
      </c>
    </row>
    <row s="1642"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ТЭ.73.28136693.0002</v>
      </c>
      <c r="N152" s="1287"/>
      <c r="O152" s="1287"/>
      <c r="P152" s="1287"/>
      <c r="Q152" s="1287"/>
      <c r="R152" s="1287"/>
      <c r="S152" s="1287"/>
      <c r="T152" s="805">
        <f>AND(F152&gt;0,H152="двухставочный")</f>
        <v>0</v>
      </c>
      <c r="U152" s="1437"/>
      <c r="V152" s="1437"/>
      <c r="W152" s="1437"/>
      <c r="X152" s="1437"/>
      <c r="Y152" s="1437"/>
      <c r="Z152" s="1437"/>
      <c r="AA152" s="227"/>
      <c r="AB152" s="659" t="s">
        <v>1663</v>
      </c>
      <c r="AC152" s="160" t="s">
        <v>1726</v>
      </c>
      <c r="AD152" s="710"/>
      <c r="AE152" s="735"/>
      <c r="AF152" s="613"/>
      <c r="AG152" s="613"/>
      <c r="AH152" s="374"/>
      <c r="AI152" s="735"/>
      <c r="AJ152" s="735"/>
      <c r="AK152" s="735"/>
      <c r="AL152" s="374"/>
      <c r="AM152" s="74"/>
      <c r="AN152" s="74"/>
      <c r="AO152" s="74"/>
      <c r="AP152" s="227"/>
      <c r="AQ152" s="227"/>
      <c r="AR152" s="1231" t="s">
        <v>1727</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M11407::ТЭ.73.28136693.0002::Неопределено::Неопределено::Неопределено::Неопределено::Неопределено::Неопределено::Неопределено</v>
      </c>
    </row>
    <row s="1642" customFormat="1" customHeight="1" ht="16.5" hidden="1">
      <c r="A153" s="1184"/>
      <c r="B153" s="925"/>
      <c r="C153" s="1299" t="s">
        <v>1728</v>
      </c>
      <c r="D153" s="1258" t="s">
        <v>1729</v>
      </c>
      <c r="E153" s="794">
        <v>17.1</v>
      </c>
      <c r="F153" s="920" cm="1" t="str">
        <f t="array" ref="F153:F153">OFFSET(G153,-1,-1)</f>
        <v>1</v>
      </c>
      <c r="G153" s="736" t="s">
        <v>1730</v>
      </c>
      <c r="H153" s="190" cm="1" t="str">
        <f t="array" ref="H153:H153">G94</f>
        <v>одноставочный</v>
      </c>
      <c r="I153" s="227"/>
      <c r="J153" s="227"/>
      <c r="K153" s="227"/>
      <c r="L153" s="1287"/>
      <c r="M153" s="1285" cm="1" t="str">
        <f t="array" ref="M153:M153">OFFSET(L153,-1,1)</f>
        <v>ТЭ.73.28136693.0002</v>
      </c>
      <c r="N153" s="1287"/>
      <c r="O153" s="1287"/>
      <c r="P153" s="1287"/>
      <c r="Q153" s="1287"/>
      <c r="R153" s="1287"/>
      <c r="S153" s="1287" t="s">
        <v>1692</v>
      </c>
      <c r="T153" s="805">
        <f>AND(F153&gt;0,H153="двухставочный")</f>
        <v>0</v>
      </c>
      <c r="U153" s="1437"/>
      <c r="V153" s="1437"/>
      <c r="W153" s="1437"/>
      <c r="X153" s="1437"/>
      <c r="Y153" s="1437"/>
      <c r="Z153" s="1437"/>
      <c r="AA153" s="227"/>
      <c r="AB153" s="660" t="str">
        <f>AB152&amp;".1"</f>
        <v>12.1</v>
      </c>
      <c r="AC153" s="1347" t="s">
        <v>1731</v>
      </c>
      <c r="AD153" s="517" t="s">
        <v>889</v>
      </c>
      <c r="AE153" s="131"/>
      <c r="AF153" s="613"/>
      <c r="AG153" s="613"/>
      <c r="AH153" s="374"/>
      <c r="AI153" s="131"/>
      <c r="AJ153" s="638"/>
      <c r="AK153" s="638"/>
      <c r="AL153" s="307">
        <f>IF(AI153=0,0,(AK153-AI153)/AI153*100)</f>
        <v>0</v>
      </c>
      <c r="AM153" s="74"/>
      <c r="AN153" s="74"/>
      <c r="AO153" s="74"/>
      <c r="AP153" s="227"/>
      <c r="AQ153" s="227"/>
      <c r="AR153" s="1231" t="s">
        <v>1732</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M11407::ТЭ.73.28136693.0002::Неопределено::Неопределено::Неопределено::Неопределено::Неопределено::Неопределено::8.0.3.</v>
      </c>
    </row>
    <row s="1642" customFormat="1" customHeight="1" ht="16.5" hidden="1">
      <c r="A154" s="1184"/>
      <c r="B154" s="925"/>
      <c r="C154" s="1299" t="s">
        <v>1728</v>
      </c>
      <c r="D154" s="1258" t="s">
        <v>1729</v>
      </c>
      <c r="E154" s="794">
        <v>17.1</v>
      </c>
      <c r="F154" s="920" cm="1" t="str">
        <f t="array" ref="F154:F154">OFFSET(G154,-1,-1)</f>
        <v>1</v>
      </c>
      <c r="G154" s="736" t="s">
        <v>1733</v>
      </c>
      <c r="H154" s="190" cm="1" t="str">
        <f t="array" ref="H154:H154">G94</f>
        <v>одноставочный</v>
      </c>
      <c r="I154" s="227"/>
      <c r="J154" s="227"/>
      <c r="K154" s="227"/>
      <c r="L154" s="1287"/>
      <c r="M154" s="1285" cm="1" t="str">
        <f t="array" ref="M154:M154">OFFSET(L154,-1,1)</f>
        <v>ТЭ.73.28136693.0002</v>
      </c>
      <c r="N154" s="1287"/>
      <c r="O154" s="1287"/>
      <c r="P154" s="1287"/>
      <c r="Q154" s="1287"/>
      <c r="R154" s="1287"/>
      <c r="S154" s="1287" t="s">
        <v>1701</v>
      </c>
      <c r="T154" s="805">
        <f>AND(F154&gt;0,H154="двухставочный")</f>
        <v>0</v>
      </c>
      <c r="U154" s="1437"/>
      <c r="V154" s="1437"/>
      <c r="W154" s="1437"/>
      <c r="X154" s="1437"/>
      <c r="Y154" s="1437"/>
      <c r="Z154" s="1437"/>
      <c r="AA154" s="227"/>
      <c r="AB154" s="660" t="str">
        <f>AB152&amp;".2"</f>
        <v>12.2</v>
      </c>
      <c r="AC154" s="1347" t="s">
        <v>1734</v>
      </c>
      <c r="AD154" s="517" t="s">
        <v>889</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1735</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M11407::ТЭ.73.28136693.0002::Неопределено::Неопределено::Неопределено::Неопределено::Неопределено::Неопределено::8.0.5.</v>
      </c>
    </row>
    <row s="1642" customFormat="1" customHeight="1" ht="16.5" hidden="1">
      <c r="A155" s="1184"/>
      <c r="B155" s="925"/>
      <c r="C155" s="1299" t="s">
        <v>1736</v>
      </c>
      <c r="D155" s="1258" t="s">
        <v>1737</v>
      </c>
      <c r="E155" s="794">
        <v>17.1</v>
      </c>
      <c r="F155" s="920" cm="1" t="str">
        <f t="array" ref="F155:F155">OFFSET(G155,-1,-1)</f>
        <v>1</v>
      </c>
      <c r="G155" s="227"/>
      <c r="H155" s="190" cm="1" t="str">
        <f t="array" ref="H155:H155">G94</f>
        <v>одноставочный</v>
      </c>
      <c r="I155" s="227"/>
      <c r="J155" s="227"/>
      <c r="K155" s="227"/>
      <c r="L155" s="1287" t="s">
        <v>1890</v>
      </c>
      <c r="M155" s="1285" cm="1" t="str">
        <f t="array" ref="M155:M155">OFFSET(L155,-1,1)</f>
        <v>ТЭ.73.28136693.0002</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1739</v>
      </c>
      <c r="AD155" s="517" t="s">
        <v>485</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1740</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M10444::ТЭ.73.28136693.0002::1.0.84.::Неопределено::Неопределено::Неопределено::Неопределено::Неопределено::Неопределено</v>
      </c>
    </row>
    <row s="1642"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ТЭ.73.28136693.0002</v>
      </c>
      <c r="N156" s="1287"/>
      <c r="O156" s="1287"/>
      <c r="P156" s="1287"/>
      <c r="Q156" s="1287"/>
      <c r="R156" s="1287"/>
      <c r="S156" s="1287"/>
      <c r="T156" s="805">
        <f>AND(F156&gt;0,H156="двухставочный")</f>
        <v>0</v>
      </c>
      <c r="U156" s="1437"/>
      <c r="V156" s="1437"/>
      <c r="W156" s="1437"/>
      <c r="X156" s="1437"/>
      <c r="Y156" s="1437"/>
      <c r="Z156" s="1437"/>
      <c r="AA156" s="227"/>
      <c r="AB156" s="283" t="s">
        <v>1668</v>
      </c>
      <c r="AC156" s="160" t="s">
        <v>1741</v>
      </c>
      <c r="AD156" s="619"/>
      <c r="AE156" s="735"/>
      <c r="AF156" s="613"/>
      <c r="AG156" s="613"/>
      <c r="AH156" s="613"/>
      <c r="AI156" s="735"/>
      <c r="AJ156" s="735"/>
      <c r="AK156" s="735"/>
      <c r="AL156" s="374"/>
      <c r="AM156" s="74"/>
      <c r="AN156" s="74"/>
      <c r="AO156" s="74"/>
      <c r="AP156" s="227"/>
      <c r="AQ156" s="227"/>
      <c r="AR156" s="1231" t="s">
        <v>1742</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M11397::ТЭ.73.28136693.0002::Неопределено::Неопределено::Неопределено::Неопределено::Неопределено::Неопределено::Неопределено</v>
      </c>
    </row>
    <row s="1642" customFormat="1" customHeight="1" ht="16.5" hidden="1">
      <c r="A157" s="1184"/>
      <c r="B157" s="925"/>
      <c r="C157" s="1299" t="s">
        <v>1743</v>
      </c>
      <c r="D157" s="1258" t="s">
        <v>1744</v>
      </c>
      <c r="E157" s="794">
        <v>17.1</v>
      </c>
      <c r="F157" s="920" cm="1" t="str">
        <f t="array" ref="F157:F157">OFFSET(G157,-1,-1)</f>
        <v>1</v>
      </c>
      <c r="G157" s="736" t="s">
        <v>1745</v>
      </c>
      <c r="H157" s="190" cm="1" t="str">
        <f t="array" ref="H157:H157">G94</f>
        <v>одноставочный</v>
      </c>
      <c r="I157" s="227"/>
      <c r="J157" s="227"/>
      <c r="K157" s="227"/>
      <c r="L157" s="1287"/>
      <c r="M157" s="1285" cm="1" t="str">
        <f t="array" ref="M157:M157">OFFSET(L157,-1,1)</f>
        <v>ТЭ.73.28136693.0002</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1746</v>
      </c>
      <c r="AD157" s="517" t="s">
        <v>1747</v>
      </c>
      <c r="AE157" s="99"/>
      <c r="AF157" s="613"/>
      <c r="AG157" s="613"/>
      <c r="AH157" s="374"/>
      <c r="AI157" s="99"/>
      <c r="AJ157" s="308"/>
      <c r="AK157" s="308"/>
      <c r="AL157" s="307">
        <f>IF(AI157=0,0,(AK157-AI157)/AI157*100)</f>
        <v>0</v>
      </c>
      <c r="AM157" s="74"/>
      <c r="AN157" s="74"/>
      <c r="AO157" s="74"/>
      <c r="AP157" s="227"/>
      <c r="AQ157" s="227"/>
      <c r="AR157" s="1231" t="s">
        <v>1748</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M11397::ТЭ.73.28136693.0002::Неопределено::Неопределено::Неопределено::Неопределено::Неопределено::Неопределено::Неопределено</v>
      </c>
    </row>
    <row s="1642" customFormat="1" customHeight="1" ht="16.5" hidden="1">
      <c r="A158" s="1184"/>
      <c r="B158" s="925"/>
      <c r="C158" s="1299" t="s">
        <v>1743</v>
      </c>
      <c r="D158" s="1258" t="s">
        <v>1744</v>
      </c>
      <c r="E158" s="794">
        <v>17.1</v>
      </c>
      <c r="F158" s="920" cm="1" t="str">
        <f t="array" ref="F158:F158">OFFSET(G158,-1,-1)</f>
        <v>1</v>
      </c>
      <c r="G158" s="736" t="s">
        <v>1749</v>
      </c>
      <c r="H158" s="190" cm="1" t="str">
        <f t="array" ref="H158:H158">G94</f>
        <v>одноставочный</v>
      </c>
      <c r="I158" s="227"/>
      <c r="J158" s="227"/>
      <c r="K158" s="227"/>
      <c r="L158" s="1287"/>
      <c r="M158" s="1285" cm="1" t="str">
        <f t="array" ref="M158:M158">OFFSET(L158,-1,1)</f>
        <v>ТЭ.73.28136693.0002</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1750</v>
      </c>
      <c r="AD158" s="517" t="s">
        <v>1747</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1751</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M11397::ТЭ.73.28136693.0002::Неопределено::Неопределено::Неопределено::Неопределено::Неопределено::Неопределено::Неопределено</v>
      </c>
    </row>
    <row s="1642" customFormat="1" customHeight="1" ht="16.5" hidden="1">
      <c r="A159" s="1184"/>
      <c r="B159" s="925"/>
      <c r="C159" s="1299" t="s">
        <v>1736</v>
      </c>
      <c r="D159" s="1258" t="s">
        <v>1737</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ТЭ.73.28136693.0002</v>
      </c>
      <c r="N159" s="1287"/>
      <c r="O159" s="1287"/>
      <c r="P159" s="1287"/>
      <c r="Q159" s="1287"/>
      <c r="R159" s="1287" t="s">
        <v>1752</v>
      </c>
      <c r="S159" s="1287"/>
      <c r="T159" s="805">
        <f>AND(F159&gt;0,H159="двухставочный")</f>
        <v>0</v>
      </c>
      <c r="U159" s="1437"/>
      <c r="V159" s="1437"/>
      <c r="W159" s="1437"/>
      <c r="X159" s="1437"/>
      <c r="Y159" s="1437"/>
      <c r="Z159" s="1437"/>
      <c r="AA159" s="227"/>
      <c r="AB159" s="660" t="str">
        <f>AB156&amp;".3"</f>
        <v>13.3</v>
      </c>
      <c r="AC159" s="312" t="s">
        <v>1753</v>
      </c>
      <c r="AD159" s="517" t="s">
        <v>485</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1754</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M10444::ТЭ.73.28136693.0002::Неопределено::Неопределено::Неопределено::Неопределено::Неопределено::225.0.1.::Неопределено</v>
      </c>
    </row>
    <row s="1642" customFormat="1" customHeight="1" ht="29.25">
      <c r="A160" s="1184"/>
      <c r="B160" s="925"/>
      <c r="C160" s="1299" t="s">
        <v>1755</v>
      </c>
      <c r="D160" s="1258" t="s">
        <v>1756</v>
      </c>
      <c r="E160" s="794">
        <v>30</v>
      </c>
      <c r="F160" s="920" cm="1" t="str">
        <f t="array" ref="F160:F160">OFFSET(G160,-1,-1)</f>
        <v>1</v>
      </c>
      <c r="G160" s="227"/>
      <c r="H160" s="227"/>
      <c r="I160" s="227"/>
      <c r="J160" s="227"/>
      <c r="K160" s="227"/>
      <c r="L160" s="1287"/>
      <c r="M160" s="1285" cm="1" t="str">
        <f t="array" ref="M160:M160">OFFSET(L160,-1,1)</f>
        <v>ТЭ.73.28136693.0002</v>
      </c>
      <c r="N160" s="1287"/>
      <c r="O160" s="1287"/>
      <c r="P160" s="1287"/>
      <c r="Q160" s="1287"/>
      <c r="R160" s="1287"/>
      <c r="S160" s="1287"/>
      <c r="T160" s="805" cm="1" t="str">
        <f t="array" ref="T160:T160">T139</f>
        <v>true</v>
      </c>
      <c r="U160" s="1437"/>
      <c r="V160" s="1437"/>
      <c r="W160" s="1437"/>
      <c r="X160" s="1437"/>
      <c r="Y160" s="1437"/>
      <c r="Z160" s="1437"/>
      <c r="AA160" s="227"/>
      <c r="AB160" s="285" t="s">
        <v>1673</v>
      </c>
      <c r="AC160" s="1060" t="s">
        <v>1758</v>
      </c>
      <c r="AD160" s="577" t="s">
        <v>986</v>
      </c>
      <c r="AE160" s="1860"/>
      <c r="AF160" s="1981"/>
      <c r="AG160" s="1981"/>
      <c r="AH160" s="307">
        <f>AG160-AF160</f>
        <v>0</v>
      </c>
      <c r="AI160" s="1860"/>
      <c r="AJ160" s="308"/>
      <c r="AK160" s="308"/>
      <c r="AL160" s="307">
        <f>IF(AI160=0,0,(AK160-AI160)/AI160*100)</f>
        <v>0</v>
      </c>
      <c r="AM160" s="1792"/>
      <c r="AN160" s="1792"/>
      <c r="AO160" s="1792"/>
      <c r="AP160" s="227"/>
      <c r="AQ160" s="227"/>
      <c r="AR160" s="1231" t="s">
        <v>1759</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M10591::ТЭ.73.28136693.0002::Неопределено::Неопределено::Неопределено::Неопределено::Неопределено::Неопределено::Неопределено</v>
      </c>
    </row>
    <row customHeight="1" ht="9.945">
      <c r="E161" s="794">
        <v>10.2</v>
      </c>
      <c r="U161" s="176" t="s">
        <v>237</v>
      </c>
      <c r="V161" s="168" t="s">
        <v>1891</v>
      </c>
      <c r="AJ161" s="227"/>
      <c r="AK161" s="227"/>
      <c r="AL161" s="227"/>
    </row>
    <row customHeight="1" ht="11.25" hidden="1">
      <c r="E162" s="794">
        <v>0</v>
      </c>
      <c r="AJ162" s="227"/>
      <c r="AK162" s="227"/>
      <c r="AL162" s="227"/>
    </row>
    <row customHeight="1" ht="14.625">
      <c r="E163" s="794">
        <v>15</v>
      </c>
      <c r="AB163" s="1507" t="s">
        <v>694</v>
      </c>
      <c r="AC163" s="1507"/>
      <c r="AD163" s="1507"/>
      <c r="AE163" s="1507"/>
      <c r="AF163" s="1507"/>
      <c r="AG163" s="1507"/>
      <c r="AH163" s="1507"/>
      <c r="AI163" s="1507"/>
      <c r="AJ163" s="1507"/>
      <c r="AK163" s="1507"/>
      <c r="AL163" s="1507"/>
      <c r="AM163" s="1507"/>
      <c r="AN163" s="1507"/>
      <c r="AO163" s="1507"/>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235</v>
      </c>
      <c r="X165" s="1437"/>
      <c r="Y165" s="1437"/>
      <c r="Z165" s="1437"/>
      <c r="AA165" s="1016" t="s">
        <v>219</v>
      </c>
      <c r="AB165" s="1938"/>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236</v>
      </c>
      <c r="AA166" s="210"/>
      <c r="AB166" s="1453" t="s">
        <v>695</v>
      </c>
      <c r="AC166" s="1454"/>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E16F8-5C0F-3F68-EB88-F6CB55B2AED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L1" s="1233" t="s">
        <v>372</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424</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Ульяновская область / 2026 / ООО "НИИАР-ГЕНЕРАЦИЯ" (ИНН:7329008990, КПП:732901001)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1892</v>
      </c>
      <c r="AC22" s="1537"/>
      <c r="AD22" s="1537"/>
      <c r="AE22" s="1537"/>
      <c r="AF22" s="1537"/>
      <c r="AG22" s="1537"/>
      <c r="AH22" s="1537"/>
      <c r="AI22" s="1537"/>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38" t="s">
        <v>385</v>
      </c>
      <c r="AC24" s="1525" t="s">
        <v>427</v>
      </c>
      <c r="AD24" s="1525" t="s">
        <v>428</v>
      </c>
      <c r="AE24" s="1362" t="str">
        <f>god-2&amp;" год"</f>
        <v>2024 год</v>
      </c>
      <c r="AF24" s="154" t="str">
        <f>god-2&amp;" год"</f>
        <v>2024 год</v>
      </c>
      <c r="AG24" s="1524" t="s">
        <v>1255</v>
      </c>
      <c r="AH24" s="1524" t="s">
        <v>582</v>
      </c>
      <c r="AI24" s="1524" t="s">
        <v>1256</v>
      </c>
      <c r="AL24" s="1233"/>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402</v>
      </c>
      <c r="AF25" s="154" t="s">
        <v>1520</v>
      </c>
      <c r="AG25" s="1524"/>
      <c r="AH25" s="1524"/>
      <c r="AI25" s="1524"/>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1893</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1894</v>
      </c>
      <c r="AC29" s="286" t="s">
        <v>1895</v>
      </c>
      <c r="AD29" s="151" t="s">
        <v>1368</v>
      </c>
      <c r="AE29" s="62"/>
      <c r="AF29" s="62"/>
      <c r="AG29" s="139"/>
      <c r="AH29" s="139"/>
      <c r="AI29" s="60"/>
      <c r="AL29" s="1182" t="s">
        <v>1896</v>
      </c>
    </row>
    <row s="217" customFormat="1" customHeight="1" ht="43.875" hidden="1">
      <c r="E30" s="794">
        <v>45</v>
      </c>
      <c r="F30" s="920" cm="1" t="str">
        <f t="array" ref="F30:F30">OFFSET(G30,-1,-1)</f>
        <v>0</v>
      </c>
      <c r="T30" s="805" cm="1" t="str">
        <f t="array" ref="T30:T30">T29</f>
        <v>false</v>
      </c>
      <c r="AB30" s="607" t="s">
        <v>1897</v>
      </c>
      <c r="AC30" s="286" t="s">
        <v>1898</v>
      </c>
      <c r="AD30" s="151" t="s">
        <v>453</v>
      </c>
      <c r="AE30" s="62"/>
      <c r="AF30" s="62"/>
      <c r="AG30" s="139"/>
      <c r="AH30" s="139"/>
      <c r="AI30" s="60"/>
      <c r="AL30" s="1182" t="s">
        <v>1899</v>
      </c>
    </row>
    <row s="217" customFormat="1" customHeight="1" ht="39" hidden="1">
      <c r="E31" s="794">
        <v>40</v>
      </c>
      <c r="F31" s="920" cm="1" t="str">
        <f t="array" ref="F31:F31">OFFSET(G31,-1,-1)</f>
        <v>0</v>
      </c>
      <c r="T31" s="805" cm="1" t="str">
        <f t="array" ref="T31:T31">T30</f>
        <v>false</v>
      </c>
      <c r="AB31" s="607" t="s">
        <v>1900</v>
      </c>
      <c r="AC31" s="286" t="s">
        <v>1901</v>
      </c>
      <c r="AD31" s="151" t="s">
        <v>1902</v>
      </c>
      <c r="AE31" s="62">
        <f>_xlfn.IFERROR(AE29/AE30,0)</f>
        <v>0</v>
      </c>
      <c r="AF31" s="62">
        <f>_xlfn.IFERROR(AF29/AF30,0)</f>
        <v>0</v>
      </c>
      <c r="AG31" s="139"/>
      <c r="AH31" s="139"/>
      <c r="AI31" s="60"/>
      <c r="AL31" s="1182" t="s">
        <v>1903</v>
      </c>
    </row>
    <row s="217" customFormat="1" customHeight="1" ht="16.672500000000003" hidden="1">
      <c r="E32" s="794">
        <v>17.1</v>
      </c>
      <c r="F32" s="920" cm="1" t="str">
        <f t="array" ref="F32:F32">OFFSET(G32,-1,-1)</f>
        <v>0</v>
      </c>
      <c r="T32" s="805" cm="1" t="str">
        <f t="array" ref="T32:T32">T31</f>
        <v>false</v>
      </c>
      <c r="AB32" s="607" t="s">
        <v>1904</v>
      </c>
      <c r="AC32" s="286" t="s">
        <v>1905</v>
      </c>
      <c r="AD32" s="151" t="s">
        <v>485</v>
      </c>
      <c r="AE32" s="140"/>
      <c r="AF32" s="140"/>
      <c r="AG32" s="139"/>
      <c r="AH32" s="139"/>
      <c r="AI32" s="60"/>
      <c r="AL32" s="1182" t="s">
        <v>1906</v>
      </c>
    </row>
    <row s="217" customFormat="1" customHeight="1" ht="39" hidden="1">
      <c r="E33" s="794">
        <v>40</v>
      </c>
      <c r="F33" s="920" cm="1" t="str">
        <f t="array" ref="F33:F33">OFFSET(G33,-1,-1)</f>
        <v>0</v>
      </c>
      <c r="T33" s="805" cm="1" t="str">
        <f t="array" ref="T33:T33">T32</f>
        <v>false</v>
      </c>
      <c r="AB33" s="1029" t="s">
        <v>1907</v>
      </c>
      <c r="AC33" s="1027" t="s">
        <v>1908</v>
      </c>
      <c r="AD33" s="1028" t="s">
        <v>1902</v>
      </c>
      <c r="AE33" s="63"/>
      <c r="AF33" s="63"/>
      <c r="AG33" s="141"/>
      <c r="AH33" s="141"/>
      <c r="AI33" s="142"/>
      <c r="AL33" s="1182" t="s">
        <v>1909</v>
      </c>
    </row>
    <row s="217" customFormat="1" customHeight="1" ht="16.672500000000003" hidden="1">
      <c r="E34" s="794">
        <v>17.1</v>
      </c>
      <c r="F34" s="920" cm="1" t="str">
        <f t="array" ref="F34:F34">OFFSET(G34,-1,-1)</f>
        <v>0</v>
      </c>
      <c r="T34" s="805" cm="1" t="str">
        <f t="array" ref="T34:T34">T33</f>
        <v>false</v>
      </c>
      <c r="AB34" s="151">
        <v>2</v>
      </c>
      <c r="AC34" s="1025" t="s">
        <v>1910</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1911</v>
      </c>
      <c r="AC35" s="286" t="s">
        <v>1912</v>
      </c>
      <c r="AD35" s="151" t="s">
        <v>1368</v>
      </c>
      <c r="AE35" s="63"/>
      <c r="AF35" s="63"/>
      <c r="AG35" s="141"/>
      <c r="AH35" s="141"/>
      <c r="AI35" s="142"/>
      <c r="AL35" s="1182" t="s">
        <v>1913</v>
      </c>
    </row>
    <row s="217" customFormat="1" customHeight="1" ht="39" hidden="1">
      <c r="E36" s="794">
        <v>40</v>
      </c>
      <c r="F36" s="920" cm="1" t="str">
        <f t="array" ref="F36:F36">OFFSET(G36,-1,-1)</f>
        <v>0</v>
      </c>
      <c r="T36" s="805" cm="1" t="str">
        <f t="array" ref="T36:T36">T35</f>
        <v>false</v>
      </c>
      <c r="AB36" s="151" t="s">
        <v>1914</v>
      </c>
      <c r="AC36" s="286" t="s">
        <v>1915</v>
      </c>
      <c r="AD36" s="151" t="s">
        <v>1916</v>
      </c>
      <c r="AE36" s="63"/>
      <c r="AF36" s="63"/>
      <c r="AG36" s="141"/>
      <c r="AH36" s="141"/>
      <c r="AI36" s="142"/>
      <c r="AL36" s="1182" t="s">
        <v>1917</v>
      </c>
    </row>
    <row s="217" customFormat="1" customHeight="1" ht="39" hidden="1">
      <c r="E37" s="794">
        <v>40</v>
      </c>
      <c r="F37" s="920" cm="1" t="str">
        <f t="array" ref="F37:F37">OFFSET(G37,-1,-1)</f>
        <v>0</v>
      </c>
      <c r="T37" s="805" cm="1" t="str">
        <f t="array" ref="T37:T37">T36</f>
        <v>false</v>
      </c>
      <c r="AB37" s="151" t="s">
        <v>1918</v>
      </c>
      <c r="AC37" s="286" t="s">
        <v>1919</v>
      </c>
      <c r="AD37" s="151" t="s">
        <v>889</v>
      </c>
      <c r="AE37" s="62">
        <f>_xlfn.IFERROR(AE35/AE36,0)</f>
        <v>0</v>
      </c>
      <c r="AF37" s="62">
        <f>_xlfn.IFERROR(AF35/AF36,0)</f>
        <v>0</v>
      </c>
      <c r="AG37" s="141"/>
      <c r="AH37" s="141"/>
      <c r="AI37" s="142"/>
      <c r="AL37" s="1182" t="s">
        <v>1903</v>
      </c>
    </row>
    <row s="217" customFormat="1" customHeight="1" ht="16.672500000000003" hidden="1">
      <c r="E38" s="794">
        <v>17.1</v>
      </c>
      <c r="F38" s="920" cm="1" t="str">
        <f t="array" ref="F38:F38">OFFSET(G38,-1,-1)</f>
        <v>0</v>
      </c>
      <c r="T38" s="805" cm="1" t="str">
        <f t="array" ref="T38:T38">T37</f>
        <v>false</v>
      </c>
      <c r="AB38" s="151" t="s">
        <v>1920</v>
      </c>
      <c r="AC38" s="286" t="s">
        <v>1905</v>
      </c>
      <c r="AD38" s="151" t="s">
        <v>485</v>
      </c>
      <c r="AE38" s="63"/>
      <c r="AF38" s="63"/>
      <c r="AG38" s="141"/>
      <c r="AH38" s="141"/>
      <c r="AI38" s="142"/>
      <c r="AL38" s="1182" t="s">
        <v>1921</v>
      </c>
    </row>
    <row s="217" customFormat="1" customHeight="1" ht="39" hidden="1">
      <c r="E39" s="794">
        <v>40</v>
      </c>
      <c r="F39" s="920" cm="1" t="str">
        <f t="array" ref="F39:F39">OFFSET(G39,-1,-1)</f>
        <v>0</v>
      </c>
      <c r="T39" s="805" cm="1" t="str">
        <f t="array" ref="T39:T39">T38</f>
        <v>false</v>
      </c>
      <c r="AB39" s="151" t="s">
        <v>1922</v>
      </c>
      <c r="AC39" s="286" t="s">
        <v>1923</v>
      </c>
      <c r="AD39" s="607" t="s">
        <v>889</v>
      </c>
      <c r="AE39" s="62"/>
      <c r="AF39" s="62"/>
      <c r="AG39" s="139"/>
      <c r="AH39" s="139"/>
      <c r="AI39" s="60"/>
      <c r="AL39" s="1182" t="s">
        <v>1909</v>
      </c>
    </row>
    <row customHeight="1" ht="17.25" hidden="1">
      <c r="E40" s="794">
        <v>0</v>
      </c>
      <c r="F40" s="920" cm="1" t="str">
        <f t="array" ref="F40:F40">OFFSET(G40,-1,-1)</f>
        <v>0</v>
      </c>
      <c r="T40" s="805" cm="1" t="str">
        <f t="array" ref="T40:T40">T39</f>
        <v>false</v>
      </c>
    </row>
    <row s="1922"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36" t="s">
        <v>337</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2"/>
    </row>
    <row s="1922"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1893</v>
      </c>
      <c r="AD42" s="1026"/>
      <c r="AE42" s="1026"/>
      <c r="AF42" s="1026"/>
      <c r="AG42" s="1026"/>
      <c r="AH42" s="1026"/>
      <c r="AI42" s="1026"/>
      <c r="AJ42" s="217"/>
      <c r="AK42" s="217"/>
      <c r="AL42" s="1182"/>
    </row>
    <row s="1922"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1894</v>
      </c>
      <c r="AC43" s="286" t="s">
        <v>1895</v>
      </c>
      <c r="AD43" s="151" t="s">
        <v>1368</v>
      </c>
      <c r="AE43" s="1680"/>
      <c r="AF43" s="1680"/>
      <c r="AG43" s="2030"/>
      <c r="AH43" s="2030"/>
      <c r="AI43" s="1671"/>
      <c r="AJ43" s="217"/>
      <c r="AK43" s="217"/>
      <c r="AL43" s="1182" t="s">
        <v>1896</v>
      </c>
    </row>
    <row s="1922"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1897</v>
      </c>
      <c r="AC44" s="286" t="s">
        <v>1898</v>
      </c>
      <c r="AD44" s="151" t="s">
        <v>453</v>
      </c>
      <c r="AE44" s="1680"/>
      <c r="AF44" s="1680"/>
      <c r="AG44" s="2030"/>
      <c r="AH44" s="2030"/>
      <c r="AI44" s="1671"/>
      <c r="AJ44" s="217"/>
      <c r="AK44" s="217"/>
      <c r="AL44" s="1182" t="s">
        <v>1899</v>
      </c>
    </row>
    <row s="1922"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1900</v>
      </c>
      <c r="AC45" s="286" t="s">
        <v>1901</v>
      </c>
      <c r="AD45" s="151" t="s">
        <v>1902</v>
      </c>
      <c r="AE45" s="1680">
        <f>_xlfn.IFERROR(AE43/AE44,0)</f>
        <v>0</v>
      </c>
      <c r="AF45" s="1680">
        <f>_xlfn.IFERROR(AF43/AF44,0)</f>
        <v>0</v>
      </c>
      <c r="AG45" s="2030"/>
      <c r="AH45" s="2030"/>
      <c r="AI45" s="1671"/>
      <c r="AJ45" s="217"/>
      <c r="AK45" s="217"/>
      <c r="AL45" s="1182" t="s">
        <v>1903</v>
      </c>
    </row>
    <row s="1922"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1904</v>
      </c>
      <c r="AC46" s="286" t="s">
        <v>1905</v>
      </c>
      <c r="AD46" s="151" t="s">
        <v>485</v>
      </c>
      <c r="AE46" s="2031"/>
      <c r="AF46" s="2031"/>
      <c r="AG46" s="2030"/>
      <c r="AH46" s="2030"/>
      <c r="AI46" s="1671"/>
      <c r="AJ46" s="217"/>
      <c r="AK46" s="217"/>
      <c r="AL46" s="1182" t="s">
        <v>1906</v>
      </c>
    </row>
    <row s="1922"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1907</v>
      </c>
      <c r="AC47" s="1027" t="s">
        <v>1908</v>
      </c>
      <c r="AD47" s="1028" t="s">
        <v>1902</v>
      </c>
      <c r="AE47" s="1684"/>
      <c r="AF47" s="1684"/>
      <c r="AG47" s="2032"/>
      <c r="AH47" s="2032"/>
      <c r="AI47" s="2033"/>
      <c r="AJ47" s="217"/>
      <c r="AK47" s="217"/>
      <c r="AL47" s="1182" t="s">
        <v>1909</v>
      </c>
    </row>
    <row s="1922"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1910</v>
      </c>
      <c r="AD48" s="1026"/>
      <c r="AE48" s="1047"/>
      <c r="AF48" s="1047"/>
      <c r="AG48" s="1026"/>
      <c r="AH48" s="1026"/>
      <c r="AI48" s="1026"/>
      <c r="AJ48" s="217"/>
      <c r="AK48" s="217"/>
      <c r="AL48" s="1182"/>
    </row>
    <row s="1922"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1911</v>
      </c>
      <c r="AC49" s="286" t="s">
        <v>1912</v>
      </c>
      <c r="AD49" s="151" t="s">
        <v>1368</v>
      </c>
      <c r="AE49" s="1684"/>
      <c r="AF49" s="1684"/>
      <c r="AG49" s="2032"/>
      <c r="AH49" s="2032"/>
      <c r="AI49" s="2033"/>
      <c r="AJ49" s="217"/>
      <c r="AK49" s="217"/>
      <c r="AL49" s="1182" t="s">
        <v>1913</v>
      </c>
    </row>
    <row s="1922"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1914</v>
      </c>
      <c r="AC50" s="286" t="s">
        <v>1915</v>
      </c>
      <c r="AD50" s="151" t="s">
        <v>1916</v>
      </c>
      <c r="AE50" s="1684"/>
      <c r="AF50" s="1684"/>
      <c r="AG50" s="2032"/>
      <c r="AH50" s="2032"/>
      <c r="AI50" s="2033"/>
      <c r="AJ50" s="217"/>
      <c r="AK50" s="217"/>
      <c r="AL50" s="1182" t="s">
        <v>1917</v>
      </c>
    </row>
    <row s="1922"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1918</v>
      </c>
      <c r="AC51" s="286" t="s">
        <v>1919</v>
      </c>
      <c r="AD51" s="151" t="s">
        <v>889</v>
      </c>
      <c r="AE51" s="1680">
        <f>_xlfn.IFERROR(AE49/AE50,0)</f>
        <v>0</v>
      </c>
      <c r="AF51" s="1680">
        <f>_xlfn.IFERROR(AF49/AF50,0)</f>
        <v>0</v>
      </c>
      <c r="AG51" s="2032"/>
      <c r="AH51" s="2032"/>
      <c r="AI51" s="2033"/>
      <c r="AJ51" s="217"/>
      <c r="AK51" s="217"/>
      <c r="AL51" s="1182" t="s">
        <v>1903</v>
      </c>
    </row>
    <row s="1922"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1920</v>
      </c>
      <c r="AC52" s="286" t="s">
        <v>1905</v>
      </c>
      <c r="AD52" s="151" t="s">
        <v>485</v>
      </c>
      <c r="AE52" s="1684"/>
      <c r="AF52" s="1684"/>
      <c r="AG52" s="2032"/>
      <c r="AH52" s="2032"/>
      <c r="AI52" s="2033"/>
      <c r="AJ52" s="217"/>
      <c r="AK52" s="217"/>
      <c r="AL52" s="1182" t="s">
        <v>1921</v>
      </c>
    </row>
    <row s="1922"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1922</v>
      </c>
      <c r="AC53" s="286" t="s">
        <v>1923</v>
      </c>
      <c r="AD53" s="607" t="s">
        <v>889</v>
      </c>
      <c r="AE53" s="1680"/>
      <c r="AF53" s="1680"/>
      <c r="AG53" s="2030"/>
      <c r="AH53" s="2030"/>
      <c r="AI53" s="1671"/>
      <c r="AJ53" s="217"/>
      <c r="AK53" s="217"/>
      <c r="AL53" s="1182" t="s">
        <v>1909</v>
      </c>
    </row>
    <row s="1642"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237</v>
      </c>
      <c r="V55" s="168" t="s">
        <v>1924</v>
      </c>
    </row>
    <row customHeight="1" ht="11.25" hidden="1">
      <c r="E56" s="794">
        <v>0</v>
      </c>
    </row>
    <row customHeight="1" ht="14.625">
      <c r="E57" s="794">
        <v>15</v>
      </c>
      <c r="AB57" s="1540" t="s">
        <v>694</v>
      </c>
      <c r="AC57" s="1541"/>
      <c r="AD57" s="1541"/>
      <c r="AE57" s="1541"/>
      <c r="AF57" s="1541"/>
      <c r="AG57" s="1541"/>
      <c r="AH57" s="1541"/>
      <c r="AI57" s="1542"/>
    </row>
    <row customHeight="1" ht="14.625">
      <c r="E58" s="794">
        <v>15</v>
      </c>
      <c r="AA58" s="919"/>
      <c r="AB58" s="1543"/>
      <c r="AC58" s="1544"/>
      <c r="AD58" s="1544"/>
      <c r="AE58" s="1544"/>
      <c r="AF58" s="1544"/>
      <c r="AG58" s="1544"/>
      <c r="AH58" s="1544"/>
      <c r="AI58" s="1545"/>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235</v>
      </c>
      <c r="X59" s="1437"/>
      <c r="Y59" s="1437"/>
      <c r="Z59" s="1437"/>
      <c r="AA59" s="915" t="s">
        <v>219</v>
      </c>
      <c r="AB59" s="2034"/>
      <c r="AC59" s="2035"/>
      <c r="AD59" s="2035"/>
      <c r="AE59" s="2035"/>
      <c r="AF59" s="2035"/>
      <c r="AG59" s="2035"/>
      <c r="AH59" s="2035"/>
      <c r="AI59" s="2036"/>
      <c r="AJ59" s="227"/>
      <c r="AK59" s="227"/>
      <c r="AL59" s="1233"/>
    </row>
    <row customHeight="1" ht="14.625">
      <c r="E60" s="794">
        <v>15</v>
      </c>
      <c r="W60" s="168" t="s">
        <v>1925</v>
      </c>
      <c r="AA60" s="210"/>
      <c r="AB60" s="1453" t="s">
        <v>695</v>
      </c>
      <c r="AC60" s="1454"/>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83D18-2B6D-B88F-EB22-8940D6AD6E88}" mc:Ignorable="x14ac xr xr2 xr3">
  <sheetPr>
    <tabColor theme="3" tint="0.6"/>
  </sheetPr>
  <dimension ref="A1:C1"/>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88398-34D8-C975-5296-12B7C5C33EFF}"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816" t="s">
        <v>92</v>
      </c>
      <c r="AL1" s="1233" t="s">
        <v>372</v>
      </c>
      <c r="AM1" s="1233" t="s">
        <v>373</v>
      </c>
      <c r="AN1" s="1233" t="s">
        <v>374</v>
      </c>
      <c r="AO1" s="1234" t="s">
        <v>377</v>
      </c>
      <c r="AP1" s="1234" t="s">
        <v>378</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424</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1926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374</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Ульяновская область / 2026 / ООО "НИИАР-ГЕНЕРАЦИЯ" (ИНН:7329008990, КПП:732901001)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71</v>
      </c>
      <c r="AC22" s="1537"/>
      <c r="AD22" s="1537"/>
      <c r="AE22" s="1537"/>
      <c r="AF22" s="1537"/>
      <c r="AG22" s="1537"/>
      <c r="AH22" s="1537"/>
      <c r="AI22" s="1537"/>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38" t="s">
        <v>385</v>
      </c>
      <c r="AC24" s="1525" t="s">
        <v>427</v>
      </c>
      <c r="AD24" s="1525" t="s">
        <v>428</v>
      </c>
      <c r="AE24" s="1362" t="str">
        <f>god&amp;" год"</f>
        <v>2026 год</v>
      </c>
      <c r="AF24" s="154" t="str">
        <f>god&amp;" год"</f>
        <v>2026 год</v>
      </c>
      <c r="AG24" s="1524" t="s">
        <v>1255</v>
      </c>
      <c r="AH24" s="1524" t="s">
        <v>582</v>
      </c>
      <c r="AI24" s="1524" t="s">
        <v>1256</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402</v>
      </c>
      <c r="AF25" s="154" t="s">
        <v>1520</v>
      </c>
      <c r="AG25" s="1524"/>
      <c r="AH25" s="1524"/>
      <c r="AI25" s="1524"/>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1927</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436</v>
      </c>
      <c r="AC29" s="286" t="s">
        <v>1928</v>
      </c>
      <c r="AD29" s="151" t="s">
        <v>1368</v>
      </c>
      <c r="AE29" s="62"/>
      <c r="AF29" s="62"/>
      <c r="AG29" s="139"/>
      <c r="AH29" s="139"/>
      <c r="AI29" s="60"/>
      <c r="AL29" s="1182" t="s">
        <v>1929</v>
      </c>
      <c r="AM29" s="1182"/>
      <c r="AN29" s="1182"/>
      <c r="AO29" s="1185"/>
      <c r="AP29" s="1185"/>
    </row>
    <row s="217" customFormat="1" customHeight="1" ht="39" hidden="1">
      <c r="E30" s="794">
        <v>40</v>
      </c>
      <c r="F30" s="920" cm="1" t="str">
        <f t="array" ref="F30:F30">OFFSET(G30,-1,-1)</f>
        <v>0</v>
      </c>
      <c r="T30" s="805">
        <f>AND(F30&gt;0,OR(ISBLANK(Y30),Y30&gt;0))</f>
        <v>0</v>
      </c>
      <c r="AB30" s="575" t="s">
        <v>899</v>
      </c>
      <c r="AC30" s="286" t="s">
        <v>1930</v>
      </c>
      <c r="AD30" s="151" t="s">
        <v>453</v>
      </c>
      <c r="AE30" s="62"/>
      <c r="AF30" s="62"/>
      <c r="AG30" s="139"/>
      <c r="AH30" s="139"/>
      <c r="AI30" s="60"/>
      <c r="AL30" s="1182" t="s">
        <v>1931</v>
      </c>
      <c r="AM30" s="1182"/>
      <c r="AN30" s="1182"/>
      <c r="AO30" s="1185"/>
      <c r="AP30" s="1185"/>
    </row>
    <row s="217" customFormat="1" customHeight="1" ht="34.125" hidden="1">
      <c r="E31" s="794">
        <v>35</v>
      </c>
      <c r="F31" s="920" cm="1" t="str">
        <f t="array" ref="F31:F31">OFFSET(G31,-1,-1)</f>
        <v>0</v>
      </c>
      <c r="T31" s="805">
        <f>AND(F31&gt;0,OR(ISBLANK(Y31),Y31&gt;0))</f>
        <v>0</v>
      </c>
      <c r="AB31" s="575" t="s">
        <v>901</v>
      </c>
      <c r="AC31" s="286" t="s">
        <v>1932</v>
      </c>
      <c r="AD31" s="151" t="s">
        <v>1902</v>
      </c>
      <c r="AE31" s="62">
        <f>_xlfn.IFERROR(AE29/AE30,0)</f>
        <v>0</v>
      </c>
      <c r="AF31" s="62">
        <f>_xlfn.IFERROR(AF29/AF30,0)</f>
        <v>0</v>
      </c>
      <c r="AG31" s="139"/>
      <c r="AH31" s="139"/>
      <c r="AI31" s="60"/>
      <c r="AL31" s="1182" t="s">
        <v>1933</v>
      </c>
      <c r="AM31" s="1182"/>
      <c r="AN31" s="1182"/>
      <c r="AO31" s="1185"/>
      <c r="AP31" s="1185"/>
    </row>
    <row s="217" customFormat="1" customHeight="1" ht="34.125" hidden="1">
      <c r="E32" s="794">
        <v>35</v>
      </c>
      <c r="F32" s="920" cm="1" t="str">
        <f t="array" ref="F32:F32">OFFSET(G32,-1,-1)</f>
        <v>0</v>
      </c>
      <c r="T32" s="805">
        <f>AND(F32&gt;0,OR(ISBLANK(Y32),Y32&gt;0))</f>
        <v>0</v>
      </c>
      <c r="AB32" s="575" t="s">
        <v>905</v>
      </c>
      <c r="AC32" s="286" t="s">
        <v>1934</v>
      </c>
      <c r="AD32" s="151"/>
      <c r="AE32" s="140"/>
      <c r="AF32" s="140"/>
      <c r="AG32" s="139"/>
      <c r="AH32" s="139"/>
      <c r="AI32" s="60"/>
      <c r="AL32" s="1182" t="s">
        <v>1935</v>
      </c>
      <c r="AM32" s="1182"/>
      <c r="AN32" s="1182"/>
      <c r="AO32" s="1185"/>
      <c r="AP32" s="1185"/>
    </row>
    <row s="217" customFormat="1" customHeight="1" ht="34.125" hidden="1">
      <c r="E33" s="794">
        <v>35</v>
      </c>
      <c r="F33" s="920" cm="1" t="str">
        <f t="array" ref="F33:F33">OFFSET(G33,-1,-1)</f>
        <v>0</v>
      </c>
      <c r="T33" s="805">
        <f>AND(F33&gt;0,OR(ISBLANK(Y33),Y33&gt;0))</f>
        <v>0</v>
      </c>
      <c r="AB33" s="575" t="s">
        <v>1009</v>
      </c>
      <c r="AC33" s="1027" t="s">
        <v>1936</v>
      </c>
      <c r="AD33" s="1028" t="s">
        <v>1902</v>
      </c>
      <c r="AE33" s="63">
        <f>AE31*AE32</f>
        <v>0</v>
      </c>
      <c r="AF33" s="63">
        <f>AF31*AF32</f>
        <v>0</v>
      </c>
      <c r="AG33" s="141"/>
      <c r="AH33" s="141"/>
      <c r="AI33" s="142"/>
      <c r="AL33" s="1182" t="s">
        <v>1937</v>
      </c>
      <c r="AM33" s="1182"/>
      <c r="AN33" s="1182"/>
      <c r="AO33" s="1185"/>
      <c r="AP33" s="1185"/>
    </row>
    <row s="217" customFormat="1" customHeight="1" ht="16.672500000000003" hidden="1">
      <c r="E34" s="794">
        <v>17.1</v>
      </c>
      <c r="F34" s="920" cm="1" t="str">
        <f t="array" ref="F34:F34">OFFSET(G34,-1,-1)</f>
        <v>0</v>
      </c>
      <c r="T34" s="805">
        <f>AND(F34&gt;0,OR(ISBLANK(Y34),Y34&gt;0))</f>
        <v>0</v>
      </c>
      <c r="AB34" s="575" t="s">
        <v>1012</v>
      </c>
      <c r="AC34" s="1027" t="s">
        <v>1938</v>
      </c>
      <c r="AD34" s="1028" t="s">
        <v>485</v>
      </c>
      <c r="AE34" s="63"/>
      <c r="AF34" s="63"/>
      <c r="AG34" s="141"/>
      <c r="AH34" s="141"/>
      <c r="AI34" s="142"/>
      <c r="AL34" s="1182" t="s">
        <v>1939</v>
      </c>
      <c r="AM34" s="1182"/>
      <c r="AN34" s="1182"/>
      <c r="AO34" s="1185"/>
      <c r="AP34" s="1185"/>
    </row>
    <row s="217" customFormat="1" customHeight="1" ht="39" hidden="1">
      <c r="E35" s="794">
        <v>40</v>
      </c>
      <c r="F35" s="920" cm="1" t="str">
        <f t="array" ref="F35:F35">OFFSET(G35,-1,-1)</f>
        <v>0</v>
      </c>
      <c r="T35" s="805">
        <f>AND(F35&gt;0,OR(ISBLANK(Y35),Y35&gt;0))</f>
        <v>0</v>
      </c>
      <c r="AB35" s="575" t="s">
        <v>1015</v>
      </c>
      <c r="AC35" s="1027" t="s">
        <v>1940</v>
      </c>
      <c r="AD35" s="1028" t="s">
        <v>453</v>
      </c>
      <c r="AE35" s="63"/>
      <c r="AF35" s="63"/>
      <c r="AG35" s="141"/>
      <c r="AH35" s="141"/>
      <c r="AI35" s="142"/>
      <c r="AL35" s="1182" t="s">
        <v>1941</v>
      </c>
      <c r="AM35" s="1182"/>
      <c r="AN35" s="1182"/>
      <c r="AO35" s="1185"/>
      <c r="AP35" s="1185"/>
    </row>
    <row s="217" customFormat="1" customHeight="1" ht="16.672500000000003" hidden="1">
      <c r="E36" s="794">
        <v>17.1</v>
      </c>
      <c r="F36" s="920" cm="1" t="str">
        <f t="array" ref="F36:F36">OFFSET(G36,-1,-1)</f>
        <v>0</v>
      </c>
      <c r="T36" s="805">
        <f>AND(F36&gt;0,OR(ISBLANK(Y36),Y36&gt;0))</f>
        <v>0</v>
      </c>
      <c r="AB36" s="575" t="s">
        <v>1018</v>
      </c>
      <c r="AC36" s="1027" t="s">
        <v>1942</v>
      </c>
      <c r="AD36" s="1028" t="s">
        <v>1368</v>
      </c>
      <c r="AE36" s="63">
        <f>AE33*AE35*(1+AE34)</f>
        <v>0</v>
      </c>
      <c r="AF36" s="63">
        <f>AF33*AF35*(1+AF34)</f>
        <v>0</v>
      </c>
      <c r="AG36" s="141"/>
      <c r="AH36" s="141"/>
      <c r="AI36" s="142"/>
      <c r="AL36" s="1182" t="s">
        <v>1375</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1943</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443</v>
      </c>
      <c r="AC38" s="1034" t="s">
        <v>1944</v>
      </c>
      <c r="AD38" s="151" t="s">
        <v>1368</v>
      </c>
      <c r="AE38" s="99">
        <f>SUM(AE39:AE40)</f>
        <v>0</v>
      </c>
      <c r="AF38" s="99">
        <f>SUM(AF39:AF40)</f>
        <v>0</v>
      </c>
      <c r="AG38" s="141"/>
      <c r="AH38" s="141"/>
      <c r="AI38" s="142"/>
      <c r="AL38" s="1182" t="s">
        <v>1945</v>
      </c>
      <c r="AM38" s="1182"/>
      <c r="AN38" s="1182"/>
      <c r="AO38" s="1185"/>
      <c r="AP38" s="1185"/>
    </row>
    <row s="217" customFormat="1" customHeight="1" ht="16.575" hidden="1">
      <c r="E39" s="794">
        <v>17</v>
      </c>
      <c r="F39" s="920" cm="1" t="str">
        <f t="array" ref="F39:F39">OFFSET(G39,-1,-1)</f>
        <v>0</v>
      </c>
      <c r="T39" s="805">
        <f>AND(F39&gt;0,OR(ISBLANK(Y39),Y39&gt;0))</f>
        <v>0</v>
      </c>
      <c r="W39" s="172" t="s">
        <v>235</v>
      </c>
      <c r="Y39" s="172">
        <v>0</v>
      </c>
      <c r="AA39" s="915" t="s">
        <v>219</v>
      </c>
      <c r="AB39" s="285" t="str">
        <f>"2.1."&amp;Y39</f>
        <v>2.1.0</v>
      </c>
      <c r="AC39" s="143"/>
      <c r="AD39" s="151" t="s">
        <v>1368</v>
      </c>
      <c r="AE39" s="99"/>
      <c r="AF39" s="99"/>
      <c r="AG39" s="141"/>
      <c r="AH39" s="141"/>
      <c r="AI39" s="142"/>
      <c r="AL39" s="1182" t="s">
        <v>1945</v>
      </c>
      <c r="AM39" s="1182" t="s">
        <v>1946</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915</v>
      </c>
      <c r="AB40" s="299"/>
      <c r="AC40" s="732" t="s">
        <v>237</v>
      </c>
      <c r="AD40" s="300"/>
      <c r="AE40" s="300"/>
      <c r="AF40" s="300"/>
      <c r="AG40" s="300"/>
      <c r="AH40" s="300"/>
      <c r="AI40" s="300"/>
      <c r="AL40" s="1182" t="str">
        <f>IF(AND(ISNUMBER(VALUE(TRIM(SUBSTITUTE(AB40,".","")))),TRIM(SUBSTITUTE(AB40,".",""))&lt;&gt;""),"P"&amp;SUBSTITUTE(AB40,".",""),"")</f>
        <v/>
      </c>
      <c r="AM40" s="1182"/>
      <c r="AN40" s="1182"/>
      <c r="AO40" s="1185" t="s">
        <v>1946</v>
      </c>
      <c r="AP40" s="1185"/>
    </row>
    <row s="217" customFormat="1" customHeight="1" ht="39" hidden="1">
      <c r="E41" s="794">
        <v>40</v>
      </c>
      <c r="F41" s="920" cm="1" t="str">
        <f t="array" ref="F41:F41">OFFSET(G41,-1,-1)</f>
        <v>0</v>
      </c>
      <c r="T41" s="805">
        <f>AND(F41&gt;0,OR(ISBLANK(Y41),Y41&gt;0))</f>
        <v>0</v>
      </c>
      <c r="AB41" s="285" t="s">
        <v>470</v>
      </c>
      <c r="AC41" s="1034" t="s">
        <v>1947</v>
      </c>
      <c r="AD41" s="151" t="s">
        <v>1916</v>
      </c>
      <c r="AE41" s="99">
        <f>SUM(AE42:AE43)</f>
        <v>0</v>
      </c>
      <c r="AF41" s="99">
        <f>SUM(AF42:AF43)</f>
        <v>0</v>
      </c>
      <c r="AG41" s="141"/>
      <c r="AH41" s="141"/>
      <c r="AI41" s="142"/>
      <c r="AL41" s="1182" t="s">
        <v>1917</v>
      </c>
      <c r="AM41" s="1182"/>
      <c r="AN41" s="1182"/>
      <c r="AO41" s="1185"/>
      <c r="AP41" s="1185"/>
    </row>
    <row s="217" customFormat="1" customHeight="1" ht="16.672500000000003" hidden="1">
      <c r="E42" s="794">
        <v>17.1</v>
      </c>
      <c r="F42" s="920" cm="1" t="str">
        <f t="array" ref="F42:F42">OFFSET(G42,-1,-1)</f>
        <v>0</v>
      </c>
      <c r="T42" s="805">
        <f>AND(F42&gt;0,OR(ISBLANK(Y42),Y42&gt;0))</f>
        <v>0</v>
      </c>
      <c r="W42" s="172" t="s">
        <v>235</v>
      </c>
      <c r="Y42" s="172">
        <v>0</v>
      </c>
      <c r="AA42" s="915" t="s">
        <v>219</v>
      </c>
      <c r="AB42" s="285" t="str">
        <f>"2.2."&amp;Y42</f>
        <v>2.2.0</v>
      </c>
      <c r="AC42" s="143"/>
      <c r="AD42" s="151" t="s">
        <v>1916</v>
      </c>
      <c r="AE42" s="99"/>
      <c r="AF42" s="99"/>
      <c r="AG42" s="141"/>
      <c r="AH42" s="141"/>
      <c r="AI42" s="142"/>
      <c r="AL42" s="1182" t="s">
        <v>1917</v>
      </c>
      <c r="AM42" s="1182" t="s">
        <v>1948</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926</v>
      </c>
      <c r="AB43" s="299"/>
      <c r="AC43" s="732" t="s">
        <v>237</v>
      </c>
      <c r="AD43" s="300"/>
      <c r="AE43" s="300"/>
      <c r="AF43" s="300"/>
      <c r="AG43" s="300"/>
      <c r="AH43" s="300"/>
      <c r="AI43" s="300"/>
      <c r="AL43" s="1182" t="str">
        <f>IF(AND(ISNUMBER(VALUE(TRIM(SUBSTITUTE(AB43,".","")))),TRIM(SUBSTITUTE(AB43,".",""))&lt;&gt;""),"P"&amp;SUBSTITUTE(AB43,".",""),"")</f>
        <v/>
      </c>
      <c r="AM43" s="1182"/>
      <c r="AN43" s="1182"/>
      <c r="AO43" s="1185" t="s">
        <v>1948</v>
      </c>
      <c r="AP43" s="1185"/>
    </row>
    <row s="217" customFormat="1" customHeight="1" ht="34.125" hidden="1">
      <c r="E44" s="794">
        <v>35</v>
      </c>
      <c r="F44" s="920" cm="1" t="str">
        <f t="array" ref="F44:F44">OFFSET(G44,-1,-1)</f>
        <v>0</v>
      </c>
      <c r="T44" s="805">
        <f>AND(F44&gt;0,OR(ISBLANK(Y44),Y44&gt;0))</f>
        <v>0</v>
      </c>
      <c r="AB44" s="1120" t="s">
        <v>474</v>
      </c>
      <c r="AC44" s="1035" t="s">
        <v>1949</v>
      </c>
      <c r="AD44" s="1029" t="s">
        <v>1368</v>
      </c>
      <c r="AE44" s="62"/>
      <c r="AF44" s="62"/>
      <c r="AG44" s="139"/>
      <c r="AH44" s="139"/>
      <c r="AI44" s="60"/>
      <c r="AL44" s="1182" t="s">
        <v>1950</v>
      </c>
      <c r="AM44" s="1182"/>
      <c r="AN44" s="1182"/>
      <c r="AO44" s="1185"/>
      <c r="AP44" s="1185"/>
    </row>
    <row s="217" customFormat="1" customHeight="1" ht="39" hidden="1">
      <c r="E45" s="794">
        <v>40</v>
      </c>
      <c r="F45" s="920" cm="1" t="str">
        <f t="array" ref="F45:F45">OFFSET(G45,-1,-1)</f>
        <v>0</v>
      </c>
      <c r="T45" s="805">
        <f>AND(F45&gt;0,OR(ISBLANK(Y45),Y45&gt;0))</f>
        <v>0</v>
      </c>
      <c r="AB45" s="285" t="s">
        <v>478</v>
      </c>
      <c r="AC45" s="286" t="s">
        <v>1951</v>
      </c>
      <c r="AD45" s="151"/>
      <c r="AE45" s="65"/>
      <c r="AF45" s="62"/>
      <c r="AG45" s="139"/>
      <c r="AH45" s="139"/>
      <c r="AI45" s="60"/>
      <c r="AL45" s="1182" t="s">
        <v>1952</v>
      </c>
      <c r="AM45" s="1182"/>
      <c r="AN45" s="1182"/>
      <c r="AO45" s="1185"/>
      <c r="AP45" s="1185"/>
    </row>
    <row s="217" customFormat="1" customHeight="1" ht="34.125" hidden="1">
      <c r="E46" s="794">
        <v>35</v>
      </c>
      <c r="F46" s="920" cm="1" t="str">
        <f t="array" ref="F46:F46">OFFSET(G46,-1,-1)</f>
        <v>0</v>
      </c>
      <c r="T46" s="805">
        <f>AND(F46&gt;0,OR(ISBLANK(Y46),Y46&gt;0))</f>
        <v>0</v>
      </c>
      <c r="AB46" s="285" t="s">
        <v>1527</v>
      </c>
      <c r="AC46" s="286" t="s">
        <v>1953</v>
      </c>
      <c r="AD46" s="151" t="s">
        <v>889</v>
      </c>
      <c r="AE46" s="65">
        <f>_xlfn.IFERROR(AE38/AE41*AE45,0)</f>
        <v>0</v>
      </c>
      <c r="AF46" s="65">
        <f>_xlfn.IFERROR(AF38/AF41*AF45,0)</f>
        <v>0</v>
      </c>
      <c r="AG46" s="139"/>
      <c r="AH46" s="139"/>
      <c r="AI46" s="60"/>
      <c r="AL46" s="1182" t="s">
        <v>1954</v>
      </c>
      <c r="AM46" s="1182"/>
      <c r="AN46" s="1182"/>
      <c r="AO46" s="1185"/>
      <c r="AP46" s="1185"/>
    </row>
    <row s="217" customFormat="1" customHeight="1" ht="16.575" hidden="1">
      <c r="E47" s="794">
        <v>17</v>
      </c>
      <c r="F47" s="920" cm="1" t="str">
        <f t="array" ref="F47:F47">OFFSET(G47,-1,-1)</f>
        <v>0</v>
      </c>
      <c r="T47" s="805">
        <f>AND(F47&gt;0,OR(ISBLANK(Y47),Y47&gt;0))</f>
        <v>0</v>
      </c>
      <c r="AB47" s="285" t="s">
        <v>1955</v>
      </c>
      <c r="AC47" s="286" t="s">
        <v>1938</v>
      </c>
      <c r="AD47" s="151" t="s">
        <v>485</v>
      </c>
      <c r="AE47" s="65"/>
      <c r="AF47" s="62"/>
      <c r="AG47" s="139"/>
      <c r="AH47" s="139"/>
      <c r="AI47" s="60"/>
      <c r="AL47" s="1182" t="s">
        <v>1956</v>
      </c>
      <c r="AM47" s="1182"/>
      <c r="AN47" s="1182"/>
      <c r="AO47" s="1185"/>
      <c r="AP47" s="1185"/>
    </row>
    <row s="217" customFormat="1" customHeight="1" ht="34.125" hidden="1">
      <c r="E48" s="794">
        <v>35</v>
      </c>
      <c r="F48" s="920" cm="1" t="str">
        <f t="array" ref="F48:F48">OFFSET(G48,-1,-1)</f>
        <v>0</v>
      </c>
      <c r="T48" s="805">
        <f>AND(F48&gt;0,OR(ISBLANK(Y48),Y48&gt;0))</f>
        <v>0</v>
      </c>
      <c r="AB48" s="285" t="s">
        <v>1957</v>
      </c>
      <c r="AC48" s="286" t="s">
        <v>1958</v>
      </c>
      <c r="AD48" s="151" t="s">
        <v>1916</v>
      </c>
      <c r="AE48" s="144"/>
      <c r="AF48" s="63"/>
      <c r="AG48" s="139"/>
      <c r="AH48" s="139"/>
      <c r="AI48" s="60"/>
      <c r="AL48" s="1182" t="s">
        <v>1959</v>
      </c>
      <c r="AM48" s="1182"/>
      <c r="AN48" s="1182"/>
      <c r="AO48" s="1185"/>
      <c r="AP48" s="1185"/>
    </row>
    <row s="217" customFormat="1" customHeight="1" ht="16.575" hidden="1">
      <c r="E49" s="794">
        <v>17</v>
      </c>
      <c r="F49" s="920" cm="1" t="str">
        <f t="array" ref="F49:F49">OFFSET(G49,-1,-1)</f>
        <v>0</v>
      </c>
      <c r="T49" s="805">
        <f>AND(F49&gt;0,OR(ISBLANK(Y49),Y49&gt;0))</f>
        <v>0</v>
      </c>
      <c r="AB49" s="285" t="s">
        <v>1960</v>
      </c>
      <c r="AC49" s="286" t="s">
        <v>1961</v>
      </c>
      <c r="AD49" s="151" t="s">
        <v>1368</v>
      </c>
      <c r="AE49" s="62">
        <f>AE46*AE48*(1+AE47)</f>
        <v>0</v>
      </c>
      <c r="AF49" s="62">
        <f>AF46*AF48*(1+AF47)</f>
        <v>0</v>
      </c>
      <c r="AG49" s="139"/>
      <c r="AH49" s="139"/>
      <c r="AI49" s="60"/>
      <c r="AL49" s="1182" t="s">
        <v>1962</v>
      </c>
      <c r="AM49" s="1182"/>
      <c r="AN49" s="1182"/>
      <c r="AO49" s="1185"/>
      <c r="AP49" s="1185"/>
    </row>
    <row customHeight="1" ht="17.25" hidden="1">
      <c r="E50" s="794">
        <v>0</v>
      </c>
      <c r="F50" s="920" cm="1" t="str">
        <f t="array" ref="F50:F50">OFFSET(G50,-1,-1)</f>
        <v>0</v>
      </c>
      <c r="T50" s="805">
        <f>AND(F50&gt;0,OR(ISBLANK(Y50),Y50&gt;0))</f>
        <v>0</v>
      </c>
    </row>
    <row s="1922"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36" t="s">
        <v>337</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2"/>
      <c r="AM51" s="1182"/>
      <c r="AN51" s="1182"/>
      <c r="AO51" s="1185"/>
      <c r="AP51" s="1185"/>
    </row>
    <row s="1922"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1927</v>
      </c>
      <c r="AD52" s="1026"/>
      <c r="AE52" s="1026"/>
      <c r="AF52" s="1026"/>
      <c r="AG52" s="1026"/>
      <c r="AH52" s="1026"/>
      <c r="AI52" s="1026"/>
      <c r="AJ52" s="217"/>
      <c r="AK52" s="217"/>
      <c r="AL52" s="1182"/>
      <c r="AM52" s="1182"/>
      <c r="AN52" s="1182"/>
      <c r="AO52" s="1185"/>
      <c r="AP52" s="1185"/>
    </row>
    <row s="1922"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436</v>
      </c>
      <c r="AC53" s="286" t="s">
        <v>1928</v>
      </c>
      <c r="AD53" s="151" t="s">
        <v>1368</v>
      </c>
      <c r="AE53" s="1680"/>
      <c r="AF53" s="1680"/>
      <c r="AG53" s="2030"/>
      <c r="AH53" s="2030"/>
      <c r="AI53" s="1671"/>
      <c r="AJ53" s="217"/>
      <c r="AK53" s="217"/>
      <c r="AL53" s="1182" t="s">
        <v>1929</v>
      </c>
      <c r="AM53" s="1182"/>
      <c r="AN53" s="1182"/>
      <c r="AO53" s="1185"/>
      <c r="AP53" s="1185"/>
    </row>
    <row s="1922"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899</v>
      </c>
      <c r="AC54" s="286" t="s">
        <v>1930</v>
      </c>
      <c r="AD54" s="151" t="s">
        <v>453</v>
      </c>
      <c r="AE54" s="1680"/>
      <c r="AF54" s="1680"/>
      <c r="AG54" s="2030"/>
      <c r="AH54" s="2030"/>
      <c r="AI54" s="1671"/>
      <c r="AJ54" s="217"/>
      <c r="AK54" s="217"/>
      <c r="AL54" s="1182" t="s">
        <v>1931</v>
      </c>
      <c r="AM54" s="1182"/>
      <c r="AN54" s="1182"/>
      <c r="AO54" s="1185"/>
      <c r="AP54" s="1185"/>
    </row>
    <row s="1922"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901</v>
      </c>
      <c r="AC55" s="286" t="s">
        <v>1932</v>
      </c>
      <c r="AD55" s="151" t="s">
        <v>1902</v>
      </c>
      <c r="AE55" s="1680">
        <f>_xlfn.IFERROR(AE53/AE54,0)</f>
        <v>0</v>
      </c>
      <c r="AF55" s="1680">
        <f>_xlfn.IFERROR(AF53/AF54,0)</f>
        <v>0</v>
      </c>
      <c r="AG55" s="2030"/>
      <c r="AH55" s="2030"/>
      <c r="AI55" s="1671"/>
      <c r="AJ55" s="217"/>
      <c r="AK55" s="217"/>
      <c r="AL55" s="1182" t="s">
        <v>1933</v>
      </c>
      <c r="AM55" s="1182"/>
      <c r="AN55" s="1182"/>
      <c r="AO55" s="1185"/>
      <c r="AP55" s="1185"/>
    </row>
    <row s="1922"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905</v>
      </c>
      <c r="AC56" s="286" t="s">
        <v>1934</v>
      </c>
      <c r="AD56" s="151"/>
      <c r="AE56" s="2031"/>
      <c r="AF56" s="2031"/>
      <c r="AG56" s="2030"/>
      <c r="AH56" s="2030"/>
      <c r="AI56" s="1671"/>
      <c r="AJ56" s="217"/>
      <c r="AK56" s="217"/>
      <c r="AL56" s="1182" t="s">
        <v>1935</v>
      </c>
      <c r="AM56" s="1182"/>
      <c r="AN56" s="1182"/>
      <c r="AO56" s="1185"/>
      <c r="AP56" s="1185"/>
    </row>
    <row s="1922"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1009</v>
      </c>
      <c r="AC57" s="1027" t="s">
        <v>1936</v>
      </c>
      <c r="AD57" s="1028" t="s">
        <v>1902</v>
      </c>
      <c r="AE57" s="1684">
        <f>AE55*AE56</f>
        <v>0</v>
      </c>
      <c r="AF57" s="1684">
        <f>AF55*AF56</f>
        <v>0</v>
      </c>
      <c r="AG57" s="2032"/>
      <c r="AH57" s="2032"/>
      <c r="AI57" s="2033"/>
      <c r="AJ57" s="217"/>
      <c r="AK57" s="217"/>
      <c r="AL57" s="1182" t="s">
        <v>1937</v>
      </c>
      <c r="AM57" s="1182"/>
      <c r="AN57" s="1182"/>
      <c r="AO57" s="1185"/>
      <c r="AP57" s="1185"/>
    </row>
    <row s="192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1012</v>
      </c>
      <c r="AC58" s="1027" t="s">
        <v>1938</v>
      </c>
      <c r="AD58" s="1028" t="s">
        <v>485</v>
      </c>
      <c r="AE58" s="1684"/>
      <c r="AF58" s="1684"/>
      <c r="AG58" s="2032"/>
      <c r="AH58" s="2032"/>
      <c r="AI58" s="2033"/>
      <c r="AJ58" s="217"/>
      <c r="AK58" s="217"/>
      <c r="AL58" s="1182" t="s">
        <v>1939</v>
      </c>
      <c r="AM58" s="1182"/>
      <c r="AN58" s="1182"/>
      <c r="AO58" s="1185"/>
      <c r="AP58" s="1185"/>
    </row>
    <row s="1922"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1015</v>
      </c>
      <c r="AC59" s="1027" t="s">
        <v>1940</v>
      </c>
      <c r="AD59" s="1028" t="s">
        <v>453</v>
      </c>
      <c r="AE59" s="1684"/>
      <c r="AF59" s="1684"/>
      <c r="AG59" s="2032"/>
      <c r="AH59" s="2032"/>
      <c r="AI59" s="2033"/>
      <c r="AJ59" s="217"/>
      <c r="AK59" s="217"/>
      <c r="AL59" s="1182" t="s">
        <v>1941</v>
      </c>
      <c r="AM59" s="1182"/>
      <c r="AN59" s="1182"/>
      <c r="AO59" s="1185"/>
      <c r="AP59" s="1185"/>
    </row>
    <row s="1922"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1018</v>
      </c>
      <c r="AC60" s="1027" t="s">
        <v>1942</v>
      </c>
      <c r="AD60" s="1028" t="s">
        <v>1368</v>
      </c>
      <c r="AE60" s="1684">
        <f>AE57*AE59*(1+AE58)</f>
        <v>0</v>
      </c>
      <c r="AF60" s="1684">
        <f>AF57*AF59*(1+AF58)</f>
        <v>0</v>
      </c>
      <c r="AG60" s="2032"/>
      <c r="AH60" s="2032"/>
      <c r="AI60" s="2033"/>
      <c r="AJ60" s="217"/>
      <c r="AK60" s="217"/>
      <c r="AL60" s="1182" t="s">
        <v>1375</v>
      </c>
      <c r="AM60" s="1182"/>
      <c r="AN60" s="1182"/>
      <c r="AO60" s="1185"/>
      <c r="AP60" s="1185"/>
    </row>
    <row s="1922"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1943</v>
      </c>
      <c r="AD61" s="1026"/>
      <c r="AE61" s="1048"/>
      <c r="AF61" s="1048"/>
      <c r="AG61" s="1025"/>
      <c r="AH61" s="1025"/>
      <c r="AI61" s="1025"/>
      <c r="AJ61" s="217"/>
      <c r="AK61" s="217"/>
      <c r="AL61" s="1182"/>
      <c r="AM61" s="1182"/>
      <c r="AN61" s="1182"/>
      <c r="AO61" s="1185"/>
      <c r="AP61" s="1185"/>
    </row>
    <row s="1922"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443</v>
      </c>
      <c r="AC62" s="1034" t="s">
        <v>1944</v>
      </c>
      <c r="AD62" s="151" t="s">
        <v>1368</v>
      </c>
      <c r="AE62" s="1860">
        <f>SUM(AE63:AE64)</f>
        <v>0</v>
      </c>
      <c r="AF62" s="1860">
        <f>SUM(AF63:AF64)</f>
        <v>0</v>
      </c>
      <c r="AG62" s="2032"/>
      <c r="AH62" s="2032"/>
      <c r="AI62" s="2033"/>
      <c r="AJ62" s="217"/>
      <c r="AK62" s="217"/>
      <c r="AL62" s="1182" t="s">
        <v>1945</v>
      </c>
      <c r="AM62" s="1182"/>
      <c r="AN62" s="1182"/>
      <c r="AO62" s="1185"/>
      <c r="AP62" s="1185"/>
    </row>
    <row s="1922"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5" t="s">
        <v>219</v>
      </c>
      <c r="AB63" s="285" t="str">
        <f>"2.1."&amp;Y63</f>
        <v>2.1.0</v>
      </c>
      <c r="AC63" s="143"/>
      <c r="AD63" s="151" t="s">
        <v>1368</v>
      </c>
      <c r="AE63" s="99"/>
      <c r="AF63" s="99"/>
      <c r="AG63" s="141"/>
      <c r="AH63" s="141"/>
      <c r="AI63" s="142"/>
      <c r="AJ63" s="217"/>
      <c r="AK63" s="217"/>
      <c r="AL63" s="1182" t="s">
        <v>1945</v>
      </c>
      <c r="AM63" s="1182" t="s">
        <v>1946</v>
      </c>
      <c r="AN63" s="1182" cm="1" t="str">
        <f t="array" ref="AN63:AN63">AC63</f>
        <v>0</v>
      </c>
      <c r="AO63" s="1185"/>
      <c r="AP63" s="1185" t="b">
        <v>1</v>
      </c>
    </row>
    <row s="1922"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915</v>
      </c>
      <c r="X64" s="217"/>
      <c r="Y64" s="217"/>
      <c r="Z64" s="217"/>
      <c r="AA64" s="217"/>
      <c r="AB64" s="299"/>
      <c r="AC64" s="732" t="s">
        <v>237</v>
      </c>
      <c r="AD64" s="300"/>
      <c r="AE64" s="300"/>
      <c r="AF64" s="300"/>
      <c r="AG64" s="300"/>
      <c r="AH64" s="300"/>
      <c r="AI64" s="300"/>
      <c r="AJ64" s="217"/>
      <c r="AK64" s="217"/>
      <c r="AL64" s="1182" t="str">
        <f>IF(AND(ISNUMBER(VALUE(TRIM(SUBSTITUTE(AB64,".","")))),TRIM(SUBSTITUTE(AB64,".",""))&lt;&gt;""),"P"&amp;SUBSTITUTE(AB64,".",""),"")</f>
        <v/>
      </c>
      <c r="AM64" s="1182"/>
      <c r="AN64" s="1182"/>
      <c r="AO64" s="1185" t="s">
        <v>1946</v>
      </c>
      <c r="AP64" s="1185"/>
    </row>
    <row s="1922"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470</v>
      </c>
      <c r="AC65" s="1034" t="s">
        <v>1947</v>
      </c>
      <c r="AD65" s="151" t="s">
        <v>1916</v>
      </c>
      <c r="AE65" s="1860">
        <f>SUM(AE66:AE67)</f>
        <v>0</v>
      </c>
      <c r="AF65" s="1860">
        <f>SUM(AF66:AF67)</f>
        <v>0</v>
      </c>
      <c r="AG65" s="2032"/>
      <c r="AH65" s="2032"/>
      <c r="AI65" s="2033"/>
      <c r="AJ65" s="217"/>
      <c r="AK65" s="217"/>
      <c r="AL65" s="1182" t="s">
        <v>1917</v>
      </c>
      <c r="AM65" s="1182"/>
      <c r="AN65" s="1182"/>
      <c r="AO65" s="1185"/>
      <c r="AP65" s="1185"/>
    </row>
    <row s="1922"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5" t="s">
        <v>219</v>
      </c>
      <c r="AB66" s="285" t="str">
        <f>"2.2."&amp;Y66</f>
        <v>2.2.0</v>
      </c>
      <c r="AC66" s="143"/>
      <c r="AD66" s="151" t="s">
        <v>1916</v>
      </c>
      <c r="AE66" s="99"/>
      <c r="AF66" s="99"/>
      <c r="AG66" s="141"/>
      <c r="AH66" s="141"/>
      <c r="AI66" s="142"/>
      <c r="AJ66" s="217"/>
      <c r="AK66" s="217"/>
      <c r="AL66" s="1182" t="s">
        <v>1917</v>
      </c>
      <c r="AM66" s="1182" t="s">
        <v>1948</v>
      </c>
      <c r="AN66" s="1182" cm="1" t="str">
        <f t="array" ref="AN66:AN66">AC66</f>
        <v>0</v>
      </c>
      <c r="AO66" s="1185"/>
      <c r="AP66" s="1185" t="b">
        <v>1</v>
      </c>
    </row>
    <row s="1922"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926</v>
      </c>
      <c r="X67" s="217"/>
      <c r="Y67" s="217"/>
      <c r="Z67" s="217"/>
      <c r="AA67" s="217"/>
      <c r="AB67" s="299"/>
      <c r="AC67" s="732" t="s">
        <v>237</v>
      </c>
      <c r="AD67" s="300"/>
      <c r="AE67" s="300"/>
      <c r="AF67" s="300"/>
      <c r="AG67" s="300"/>
      <c r="AH67" s="300"/>
      <c r="AI67" s="300"/>
      <c r="AJ67" s="217"/>
      <c r="AK67" s="217"/>
      <c r="AL67" s="1182" t="str">
        <f>IF(AND(ISNUMBER(VALUE(TRIM(SUBSTITUTE(AB67,".","")))),TRIM(SUBSTITUTE(AB67,".",""))&lt;&gt;""),"P"&amp;SUBSTITUTE(AB67,".",""),"")</f>
        <v/>
      </c>
      <c r="AM67" s="1182"/>
      <c r="AN67" s="1182"/>
      <c r="AO67" s="1185" t="s">
        <v>1948</v>
      </c>
      <c r="AP67" s="1185"/>
    </row>
    <row s="1922"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474</v>
      </c>
      <c r="AC68" s="1035" t="s">
        <v>1949</v>
      </c>
      <c r="AD68" s="1029" t="s">
        <v>1368</v>
      </c>
      <c r="AE68" s="1680"/>
      <c r="AF68" s="1680"/>
      <c r="AG68" s="2030"/>
      <c r="AH68" s="2030"/>
      <c r="AI68" s="1671"/>
      <c r="AJ68" s="217"/>
      <c r="AK68" s="217"/>
      <c r="AL68" s="1182" t="s">
        <v>1950</v>
      </c>
      <c r="AM68" s="1182"/>
      <c r="AN68" s="1182"/>
      <c r="AO68" s="1185"/>
      <c r="AP68" s="1185"/>
    </row>
    <row s="1922"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478</v>
      </c>
      <c r="AC69" s="286" t="s">
        <v>1951</v>
      </c>
      <c r="AD69" s="151"/>
      <c r="AE69" s="1693"/>
      <c r="AF69" s="1680"/>
      <c r="AG69" s="2030"/>
      <c r="AH69" s="2030"/>
      <c r="AI69" s="1671"/>
      <c r="AJ69" s="217"/>
      <c r="AK69" s="217"/>
      <c r="AL69" s="1182" t="s">
        <v>1952</v>
      </c>
      <c r="AM69" s="1182"/>
      <c r="AN69" s="1182"/>
      <c r="AO69" s="1185"/>
      <c r="AP69" s="1185"/>
    </row>
    <row s="1922"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1527</v>
      </c>
      <c r="AC70" s="286" t="s">
        <v>1953</v>
      </c>
      <c r="AD70" s="151" t="s">
        <v>889</v>
      </c>
      <c r="AE70" s="1693">
        <f>_xlfn.IFERROR(AE62/AE65*AE69,0)</f>
        <v>0</v>
      </c>
      <c r="AF70" s="1693">
        <f>_xlfn.IFERROR(AF62/AF65*AF69,0)</f>
        <v>0</v>
      </c>
      <c r="AG70" s="2030"/>
      <c r="AH70" s="2030"/>
      <c r="AI70" s="1671"/>
      <c r="AJ70" s="217"/>
      <c r="AK70" s="217"/>
      <c r="AL70" s="1182" t="s">
        <v>1954</v>
      </c>
      <c r="AM70" s="1182"/>
      <c r="AN70" s="1182"/>
      <c r="AO70" s="1185"/>
      <c r="AP70" s="1185"/>
    </row>
    <row s="1922"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1955</v>
      </c>
      <c r="AC71" s="286" t="s">
        <v>1938</v>
      </c>
      <c r="AD71" s="151" t="s">
        <v>485</v>
      </c>
      <c r="AE71" s="1693"/>
      <c r="AF71" s="1680"/>
      <c r="AG71" s="2030"/>
      <c r="AH71" s="2030"/>
      <c r="AI71" s="1671"/>
      <c r="AJ71" s="217"/>
      <c r="AK71" s="217"/>
      <c r="AL71" s="1182" t="s">
        <v>1956</v>
      </c>
      <c r="AM71" s="1182"/>
      <c r="AN71" s="1182"/>
      <c r="AO71" s="1185"/>
      <c r="AP71" s="1185"/>
    </row>
    <row s="1922"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1957</v>
      </c>
      <c r="AC72" s="286" t="s">
        <v>1958</v>
      </c>
      <c r="AD72" s="151" t="s">
        <v>1916</v>
      </c>
      <c r="AE72" s="2037"/>
      <c r="AF72" s="1684"/>
      <c r="AG72" s="2030"/>
      <c r="AH72" s="2030"/>
      <c r="AI72" s="1671"/>
      <c r="AJ72" s="217"/>
      <c r="AK72" s="217"/>
      <c r="AL72" s="1182" t="s">
        <v>1959</v>
      </c>
      <c r="AM72" s="1182"/>
      <c r="AN72" s="1182"/>
      <c r="AO72" s="1185"/>
      <c r="AP72" s="1185"/>
    </row>
    <row s="1922"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1960</v>
      </c>
      <c r="AC73" s="286" t="s">
        <v>1961</v>
      </c>
      <c r="AD73" s="151" t="s">
        <v>1368</v>
      </c>
      <c r="AE73" s="1680">
        <f>AE70*AE72*(1+AE71)</f>
        <v>0</v>
      </c>
      <c r="AF73" s="1680">
        <f>AF70*AF72*(1+AF71)</f>
        <v>0</v>
      </c>
      <c r="AG73" s="2030"/>
      <c r="AH73" s="2030"/>
      <c r="AI73" s="1671"/>
      <c r="AJ73" s="217"/>
      <c r="AK73" s="217"/>
      <c r="AL73" s="1182" t="s">
        <v>1962</v>
      </c>
      <c r="AM73" s="1182"/>
      <c r="AN73" s="1182"/>
      <c r="AO73" s="1185"/>
      <c r="AP73" s="1185"/>
    </row>
    <row s="1642"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237</v>
      </c>
      <c r="V75" s="168" t="s">
        <v>1963</v>
      </c>
    </row>
    <row customHeight="1" ht="11.25" hidden="1">
      <c r="E76" s="794">
        <v>0</v>
      </c>
    </row>
    <row customHeight="1" ht="14.625">
      <c r="E77" s="794">
        <v>15</v>
      </c>
      <c r="AB77" s="1540" t="s">
        <v>694</v>
      </c>
      <c r="AC77" s="1541"/>
      <c r="AD77" s="1541"/>
      <c r="AE77" s="1541"/>
      <c r="AF77" s="1541"/>
      <c r="AG77" s="1541"/>
      <c r="AH77" s="1541"/>
      <c r="AI77" s="1542"/>
    </row>
    <row customHeight="1" ht="14.625">
      <c r="E78" s="794">
        <v>15</v>
      </c>
      <c r="AA78" s="919"/>
      <c r="AB78" s="1543"/>
      <c r="AC78" s="1544"/>
      <c r="AD78" s="1544"/>
      <c r="AE78" s="1544"/>
      <c r="AF78" s="1544"/>
      <c r="AG78" s="1544"/>
      <c r="AH78" s="1544"/>
      <c r="AI78" s="1545"/>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2034"/>
      <c r="AC79" s="2035"/>
      <c r="AD79" s="2035"/>
      <c r="AE79" s="2035"/>
      <c r="AF79" s="2035"/>
      <c r="AG79" s="2035"/>
      <c r="AH79" s="2035"/>
      <c r="AI79" s="2036"/>
      <c r="AJ79" s="227"/>
      <c r="AK79" s="227"/>
      <c r="AL79" s="1233"/>
      <c r="AM79" s="1233"/>
      <c r="AN79" s="1233"/>
      <c r="AO79" s="1234"/>
      <c r="AP79" s="1234"/>
    </row>
    <row customHeight="1" ht="14.625">
      <c r="E80" s="794">
        <v>15</v>
      </c>
      <c r="W80" s="168" t="s">
        <v>981</v>
      </c>
      <c r="AA80" s="210"/>
      <c r="AB80" s="1453" t="s">
        <v>695</v>
      </c>
      <c r="AC80" s="1454"/>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2BF58-A716-AE72-9C48-1776241B47B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1534</v>
      </c>
      <c r="N1" s="1306" t="s">
        <v>1763</v>
      </c>
      <c r="O1" s="1306" t="s">
        <v>1536</v>
      </c>
      <c r="P1" s="1306" t="s">
        <v>1964</v>
      </c>
      <c r="Q1" s="1307" t="s">
        <v>1965</v>
      </c>
      <c r="R1" s="1307" t="s">
        <v>98</v>
      </c>
      <c r="S1" s="1306" t="s">
        <v>1535</v>
      </c>
      <c r="T1" s="805" t="s">
        <v>86</v>
      </c>
      <c r="U1" s="805" t="s">
        <v>91</v>
      </c>
      <c r="V1" s="805" t="s">
        <v>87</v>
      </c>
      <c r="W1" s="805" t="s">
        <v>88</v>
      </c>
      <c r="X1" s="805" t="s">
        <v>89</v>
      </c>
      <c r="Y1" s="816" t="s">
        <v>371</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372</v>
      </c>
      <c r="BE1" s="1343" t="s">
        <v>373</v>
      </c>
      <c r="BF1" s="1343" t="s">
        <v>374</v>
      </c>
      <c r="BG1" s="1344" t="s">
        <v>377</v>
      </c>
      <c r="BH1" s="1344" t="s">
        <v>378</v>
      </c>
      <c r="BI1" s="1262" t="s">
        <v>1538</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424</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425</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426</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383</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374</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1539</v>
      </c>
      <c r="AF13" s="1267" t="s">
        <v>1539</v>
      </c>
      <c r="AG13" s="1267" t="s">
        <v>1539</v>
      </c>
      <c r="AH13" s="1267" t="s">
        <v>1539</v>
      </c>
      <c r="AI13" s="1267" t="s">
        <v>1539</v>
      </c>
      <c r="AJ13" s="1267" t="s">
        <v>1539</v>
      </c>
      <c r="AK13" s="1267" t="s">
        <v>1539</v>
      </c>
      <c r="AL13" s="1267" t="s">
        <v>1539</v>
      </c>
      <c r="AM13" s="1267" t="s">
        <v>1539</v>
      </c>
      <c r="AN13" s="1267" t="s">
        <v>1539</v>
      </c>
      <c r="AO13" s="1267" t="s">
        <v>1539</v>
      </c>
      <c r="AP13" s="1267" t="s">
        <v>1539</v>
      </c>
      <c r="AQ13" s="1267" t="s">
        <v>1539</v>
      </c>
      <c r="AR13" s="1267" t="s">
        <v>1539</v>
      </c>
      <c r="AS13" s="1267" t="s">
        <v>1539</v>
      </c>
      <c r="AT13" s="1267" t="s">
        <v>1539</v>
      </c>
      <c r="AU13" s="1267" t="s">
        <v>1539</v>
      </c>
      <c r="AV13" s="1267" t="s">
        <v>1539</v>
      </c>
      <c r="AW13" s="1267" t="s">
        <v>1539</v>
      </c>
      <c r="AX13" s="1267" t="s">
        <v>1539</v>
      </c>
      <c r="BD13" s="1273"/>
      <c r="BE13" s="1273"/>
      <c r="BF13" s="1273"/>
      <c r="BG13" s="1273"/>
      <c r="BH13" s="1273"/>
    </row>
    <row s="1268" customFormat="1" customHeight="1" ht="12" hidden="1">
      <c r="A14" s="1274" t="s">
        <v>1540</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1541</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1543</v>
      </c>
      <c r="AF15" s="1267" t="s">
        <v>1543</v>
      </c>
      <c r="AG15" s="1267" t="s">
        <v>1543</v>
      </c>
      <c r="AH15" s="1267" t="s">
        <v>1543</v>
      </c>
      <c r="AI15" s="1267" t="s">
        <v>1543</v>
      </c>
      <c r="AJ15" s="1267" t="s">
        <v>1543</v>
      </c>
      <c r="AK15" s="1267" t="s">
        <v>1543</v>
      </c>
      <c r="AL15" s="1267" t="s">
        <v>1543</v>
      </c>
      <c r="AM15" s="1267" t="s">
        <v>1543</v>
      </c>
      <c r="AN15" s="1267" t="s">
        <v>1543</v>
      </c>
      <c r="AO15" s="1267" t="s">
        <v>1542</v>
      </c>
      <c r="AP15" s="1267" t="s">
        <v>1542</v>
      </c>
      <c r="AQ15" s="1267" t="s">
        <v>1542</v>
      </c>
      <c r="AR15" s="1267" t="s">
        <v>1542</v>
      </c>
      <c r="AS15" s="1267" t="s">
        <v>1542</v>
      </c>
      <c r="AT15" s="1267" t="s">
        <v>1542</v>
      </c>
      <c r="AU15" s="1267" t="s">
        <v>1542</v>
      </c>
      <c r="AV15" s="1267" t="s">
        <v>1542</v>
      </c>
      <c r="AW15" s="1267" t="s">
        <v>1542</v>
      </c>
      <c r="AX15" s="1267" t="s">
        <v>1542</v>
      </c>
      <c r="BD15" s="1273"/>
      <c r="BE15" s="1273"/>
      <c r="BF15" s="1273"/>
      <c r="BG15" s="1273"/>
      <c r="BH15" s="1273"/>
    </row>
    <row s="1268" customFormat="1" customHeight="1" ht="12" hidden="1">
      <c r="A16" s="1306" t="s">
        <v>1549</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1550</v>
      </c>
      <c r="AZ16" s="1267" t="s">
        <v>1551</v>
      </c>
      <c r="BA16" s="1267" t="s">
        <v>1552</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5" t="s">
        <v>385</v>
      </c>
      <c r="AC24" s="1525" t="s">
        <v>427</v>
      </c>
      <c r="AD24" s="1525" t="s">
        <v>428</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4" t="s">
        <v>1255</v>
      </c>
      <c r="AZ24" s="1524" t="s">
        <v>582</v>
      </c>
      <c r="BA24" s="1524" t="s">
        <v>1256</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5"/>
      <c r="AC25" s="1525"/>
      <c r="AD25" s="1525"/>
      <c r="AE25" s="1355" t="s">
        <v>402</v>
      </c>
      <c r="AF25" s="1355" t="s">
        <v>402</v>
      </c>
      <c r="AG25" s="1355" t="s">
        <v>402</v>
      </c>
      <c r="AH25" s="1355" t="s">
        <v>402</v>
      </c>
      <c r="AI25" s="1355" t="s">
        <v>402</v>
      </c>
      <c r="AJ25" s="1355" t="s">
        <v>402</v>
      </c>
      <c r="AK25" s="1355" t="s">
        <v>402</v>
      </c>
      <c r="AL25" s="1355" t="s">
        <v>402</v>
      </c>
      <c r="AM25" s="1355" t="s">
        <v>402</v>
      </c>
      <c r="AN25" s="1355" t="s">
        <v>402</v>
      </c>
      <c r="AO25" s="410" t="s">
        <v>401</v>
      </c>
      <c r="AP25" s="410" t="s">
        <v>401</v>
      </c>
      <c r="AQ25" s="410" t="s">
        <v>401</v>
      </c>
      <c r="AR25" s="410" t="s">
        <v>401</v>
      </c>
      <c r="AS25" s="410" t="s">
        <v>401</v>
      </c>
      <c r="AT25" s="410" t="s">
        <v>401</v>
      </c>
      <c r="AU25" s="410" t="s">
        <v>401</v>
      </c>
      <c r="AV25" s="410" t="s">
        <v>401</v>
      </c>
      <c r="AW25" s="410" t="s">
        <v>401</v>
      </c>
      <c r="AX25" s="166" t="s">
        <v>401</v>
      </c>
      <c r="AY25" s="1524"/>
      <c r="AZ25" s="1524"/>
      <c r="BA25" s="1524"/>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1661</v>
      </c>
      <c r="D28" s="1318" t="s">
        <v>1662</v>
      </c>
      <c r="E28" s="794">
        <v>17</v>
      </c>
      <c r="F28" s="736" cm="1" t="str">
        <f t="array" ref="F28:F28">OFFSET(G28,-1,-1)</f>
        <v>0</v>
      </c>
      <c r="L28" s="1285"/>
      <c r="M28" s="1285" cm="1" t="str">
        <f t="array" ref="M28:M28">INDEX('Общие сведения'!$N$169:$N$202,MATCH($F27,'Общие сведения'!$Z$169:$Z$202,0)+1)</f>
        <v>0</v>
      </c>
      <c r="N28" s="1285" t="s">
        <v>1966</v>
      </c>
      <c r="O28" s="1285"/>
      <c r="P28" s="1285"/>
      <c r="Q28" s="1287"/>
      <c r="R28" s="1287"/>
      <c r="S28" s="1285"/>
      <c r="T28" s="805">
        <f>AND(F28&gt;0,OR(ISBLANK(Y28),Y28&gt;0))</f>
        <v>0</v>
      </c>
      <c r="AB28" s="170">
        <v>1</v>
      </c>
      <c r="AC28" s="624" t="s">
        <v>1967</v>
      </c>
      <c r="AD28" s="555" t="s">
        <v>1368</v>
      </c>
      <c r="AE28" s="308">
        <f>AE29+AE35+AE45</f>
        <v>0</v>
      </c>
      <c r="AF28" s="1835">
        <f>AF29+AF35+AF45</f>
        <v>0</v>
      </c>
      <c r="AG28" s="1835">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35">
        <f>AP29+AP35+AP45</f>
        <v>0</v>
      </c>
      <c r="AQ28" s="1835">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1968</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1661</v>
      </c>
      <c r="D29" s="1318" t="s">
        <v>1662</v>
      </c>
      <c r="E29" s="794">
        <v>17</v>
      </c>
      <c r="F29" s="736" cm="1" t="str">
        <f t="array" ref="F29:F29">OFFSET(G29,-1,-1)</f>
        <v>0</v>
      </c>
      <c r="L29" s="1285"/>
      <c r="M29" s="1285" cm="1" t="str">
        <f t="array" ref="M29:M29">OFFSET(L29,-1,1)</f>
        <v>0</v>
      </c>
      <c r="N29" s="1285" t="s">
        <v>1966</v>
      </c>
      <c r="O29" s="1285" t="s">
        <v>1738</v>
      </c>
      <c r="P29" s="1285"/>
      <c r="Q29" s="1287"/>
      <c r="R29" s="1287"/>
      <c r="S29" s="1285"/>
      <c r="T29" s="805">
        <f>AND(F29&gt;0,OR(ISBLANK(Y29),Y29&gt;0))</f>
        <v>0</v>
      </c>
      <c r="AB29" s="170" t="s">
        <v>436</v>
      </c>
      <c r="AC29" s="1032" t="s">
        <v>1969</v>
      </c>
      <c r="AD29" s="555" t="s">
        <v>1368</v>
      </c>
      <c r="AE29" s="308">
        <f>AE30+AE34</f>
        <v>0</v>
      </c>
      <c r="AF29" s="1835">
        <f>AF30+AF34</f>
        <v>0</v>
      </c>
      <c r="AG29" s="1835">
        <f>AG30+AG34</f>
        <v>0</v>
      </c>
      <c r="AH29" s="99">
        <f>AH30+AH34</f>
        <v>0</v>
      </c>
      <c r="AI29" s="99">
        <f>AI30+AI34</f>
        <v>0</v>
      </c>
      <c r="AJ29" s="99">
        <f>AJ30+AJ34</f>
        <v>0</v>
      </c>
      <c r="AK29" s="99">
        <f>AK30+AK34</f>
        <v>0</v>
      </c>
      <c r="AL29" s="99">
        <f>AL30+AL34</f>
        <v>0</v>
      </c>
      <c r="AM29" s="99">
        <f>AM30+AM34</f>
        <v>0</v>
      </c>
      <c r="AN29" s="99">
        <f>AN30+AN34</f>
        <v>0</v>
      </c>
      <c r="AO29" s="308">
        <f>AO30+AO34</f>
        <v>0</v>
      </c>
      <c r="AP29" s="1835">
        <f>AP30+AP34</f>
        <v>0</v>
      </c>
      <c r="AQ29" s="1835">
        <f>AQ30+AQ34</f>
        <v>0</v>
      </c>
      <c r="AR29" s="99">
        <f>AR30+AR34</f>
        <v>0</v>
      </c>
      <c r="AS29" s="99">
        <f>AS30+AS34</f>
        <v>0</v>
      </c>
      <c r="AT29" s="99">
        <f>AT30+AT34</f>
        <v>0</v>
      </c>
      <c r="AU29" s="99">
        <f>AU30+AU34</f>
        <v>0</v>
      </c>
      <c r="AV29" s="99">
        <f>AV30+AV34</f>
        <v>0</v>
      </c>
      <c r="AW29" s="99">
        <f>AW30+AW34</f>
        <v>0</v>
      </c>
      <c r="AX29" s="99">
        <f>AX30+AX34</f>
        <v>0</v>
      </c>
      <c r="AY29" s="74"/>
      <c r="AZ29" s="74"/>
      <c r="BA29" s="74"/>
      <c r="BD29" s="1233" t="s">
        <v>1970</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1661</v>
      </c>
      <c r="D30" s="1318" t="s">
        <v>1662</v>
      </c>
      <c r="E30" s="794">
        <v>17</v>
      </c>
      <c r="F30" s="736" cm="1" t="str">
        <f t="array" ref="F30:F30">OFFSET(G30,-1,-1)</f>
        <v>0</v>
      </c>
      <c r="L30" s="1285"/>
      <c r="M30" s="1285" cm="1" t="str">
        <f t="array" ref="M30:M30">OFFSET(L30,-1,1)</f>
        <v>0</v>
      </c>
      <c r="N30" s="1285" t="s">
        <v>1966</v>
      </c>
      <c r="O30" s="1285" t="s">
        <v>1738</v>
      </c>
      <c r="P30" s="1285" t="s">
        <v>1971</v>
      </c>
      <c r="Q30" s="1287"/>
      <c r="R30" s="1287"/>
      <c r="S30" s="1285"/>
      <c r="T30" s="805">
        <f>AND(F30&gt;0,OR(ISBLANK(Y30),Y30&gt;0))</f>
        <v>0</v>
      </c>
      <c r="AB30" s="577" t="s">
        <v>1119</v>
      </c>
      <c r="AC30" s="559" t="s">
        <v>1972</v>
      </c>
      <c r="AD30" s="1014" t="s">
        <v>1368</v>
      </c>
      <c r="AE30" s="308"/>
      <c r="AF30" s="1835"/>
      <c r="AG30" s="1835"/>
      <c r="AH30" s="99"/>
      <c r="AI30" s="99"/>
      <c r="AJ30" s="99"/>
      <c r="AK30" s="99"/>
      <c r="AL30" s="99"/>
      <c r="AM30" s="99"/>
      <c r="AN30" s="99"/>
      <c r="AO30" s="308"/>
      <c r="AP30" s="1835"/>
      <c r="AQ30" s="1835"/>
      <c r="AR30" s="99"/>
      <c r="AS30" s="99"/>
      <c r="AT30" s="99"/>
      <c r="AU30" s="99"/>
      <c r="AV30" s="99"/>
      <c r="AW30" s="99"/>
      <c r="AX30" s="99"/>
      <c r="AY30" s="74"/>
      <c r="AZ30" s="74"/>
      <c r="BA30" s="74"/>
      <c r="BD30" s="1233" t="s">
        <v>1973</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1661</v>
      </c>
      <c r="D31" s="1318" t="s">
        <v>1662</v>
      </c>
      <c r="E31" s="794">
        <v>17</v>
      </c>
      <c r="F31" s="736" cm="1" t="str">
        <f t="array" ref="F31:F31">OFFSET(G31,-1,-1)</f>
        <v>0</v>
      </c>
      <c r="L31" s="1285"/>
      <c r="M31" s="1285" cm="1" t="str">
        <f t="array" ref="M31:M31">OFFSET(L31,-1,1)</f>
        <v>0</v>
      </c>
      <c r="N31" s="1285" t="s">
        <v>1966</v>
      </c>
      <c r="O31" s="1285" t="s">
        <v>1738</v>
      </c>
      <c r="P31" s="1285" t="s">
        <v>1971</v>
      </c>
      <c r="Q31" s="1287"/>
      <c r="R31" s="1287" t="s">
        <v>1974</v>
      </c>
      <c r="S31" s="1285"/>
      <c r="T31" s="805">
        <f>AND(F31&gt;0,OR(ISBLANK(Y31),Y31&gt;0))</f>
        <v>0</v>
      </c>
      <c r="AB31" s="577" t="s">
        <v>1975</v>
      </c>
      <c r="AC31" s="587" t="s">
        <v>1976</v>
      </c>
      <c r="AD31" s="1014" t="s">
        <v>1368</v>
      </c>
      <c r="AE31" s="308"/>
      <c r="AF31" s="1835"/>
      <c r="AG31" s="1835"/>
      <c r="AH31" s="99"/>
      <c r="AI31" s="99"/>
      <c r="AJ31" s="99"/>
      <c r="AK31" s="99"/>
      <c r="AL31" s="99"/>
      <c r="AM31" s="99"/>
      <c r="AN31" s="99"/>
      <c r="AO31" s="308"/>
      <c r="AP31" s="1835"/>
      <c r="AQ31" s="1835"/>
      <c r="AR31" s="99"/>
      <c r="AS31" s="99"/>
      <c r="AT31" s="99"/>
      <c r="AU31" s="99"/>
      <c r="AV31" s="99"/>
      <c r="AW31" s="99"/>
      <c r="AX31" s="99"/>
      <c r="AY31" s="74"/>
      <c r="AZ31" s="74"/>
      <c r="BA31" s="74"/>
      <c r="BD31" s="1233" t="s">
        <v>1977</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1661</v>
      </c>
      <c r="D32" s="1318" t="s">
        <v>1662</v>
      </c>
      <c r="E32" s="794">
        <v>35</v>
      </c>
      <c r="F32" s="736" cm="1" t="str">
        <f t="array" ref="F32:F32">OFFSET(G32,-1,-1)</f>
        <v>0</v>
      </c>
      <c r="L32" s="1285"/>
      <c r="M32" s="1285" cm="1" t="str">
        <f t="array" ref="M32:M32">OFFSET(L32,-1,1)</f>
        <v>0</v>
      </c>
      <c r="N32" s="1285" t="s">
        <v>1966</v>
      </c>
      <c r="O32" s="1285" t="s">
        <v>1738</v>
      </c>
      <c r="P32" s="1285" t="s">
        <v>1971</v>
      </c>
      <c r="Q32" s="1287" t="s">
        <v>1978</v>
      </c>
      <c r="R32" s="1287"/>
      <c r="S32" s="1285"/>
      <c r="T32" s="805">
        <f>AND(F32&gt;0,OR(ISBLANK(Y32),Y32&gt;0))</f>
        <v>0</v>
      </c>
      <c r="AB32" s="577" t="s">
        <v>1979</v>
      </c>
      <c r="AC32" s="578" t="s">
        <v>1980</v>
      </c>
      <c r="AD32" s="1014" t="s">
        <v>1368</v>
      </c>
      <c r="AE32" s="308"/>
      <c r="AF32" s="1835"/>
      <c r="AG32" s="1835"/>
      <c r="AH32" s="99"/>
      <c r="AI32" s="99"/>
      <c r="AJ32" s="99"/>
      <c r="AK32" s="99"/>
      <c r="AL32" s="99"/>
      <c r="AM32" s="99"/>
      <c r="AN32" s="99"/>
      <c r="AO32" s="308"/>
      <c r="AP32" s="1835"/>
      <c r="AQ32" s="1835"/>
      <c r="AR32" s="99"/>
      <c r="AS32" s="99"/>
      <c r="AT32" s="99"/>
      <c r="AU32" s="99"/>
      <c r="AV32" s="99"/>
      <c r="AW32" s="99"/>
      <c r="AX32" s="99"/>
      <c r="AY32" s="74"/>
      <c r="AZ32" s="74"/>
      <c r="BA32" s="74"/>
      <c r="BD32" s="1233" t="s">
        <v>1981</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1661</v>
      </c>
      <c r="D33" s="1318" t="s">
        <v>1662</v>
      </c>
      <c r="E33" s="794">
        <v>17</v>
      </c>
      <c r="F33" s="736" cm="1" t="str">
        <f t="array" ref="F33:F33">OFFSET(G33,-1,-1)</f>
        <v>0</v>
      </c>
      <c r="L33" s="1285"/>
      <c r="M33" s="1285" cm="1" t="str">
        <f t="array" ref="M33:M33">OFFSET(L33,-1,1)</f>
        <v>0</v>
      </c>
      <c r="N33" s="1285" t="s">
        <v>1966</v>
      </c>
      <c r="O33" s="1285" t="s">
        <v>1738</v>
      </c>
      <c r="P33" s="1285" t="s">
        <v>1971</v>
      </c>
      <c r="Q33" s="1287" t="s">
        <v>1982</v>
      </c>
      <c r="R33" s="1287"/>
      <c r="S33" s="1285"/>
      <c r="T33" s="805">
        <f>AND(F33&gt;0,OR(ISBLANK(Y33),Y33&gt;0))</f>
        <v>0</v>
      </c>
      <c r="AB33" s="577" t="s">
        <v>1983</v>
      </c>
      <c r="AC33" s="578" t="s">
        <v>1984</v>
      </c>
      <c r="AD33" s="1014" t="s">
        <v>1368</v>
      </c>
      <c r="AE33" s="308"/>
      <c r="AF33" s="1835"/>
      <c r="AG33" s="1835"/>
      <c r="AH33" s="99"/>
      <c r="AI33" s="99"/>
      <c r="AJ33" s="99"/>
      <c r="AK33" s="99"/>
      <c r="AL33" s="99"/>
      <c r="AM33" s="99"/>
      <c r="AN33" s="99"/>
      <c r="AO33" s="308"/>
      <c r="AP33" s="1835"/>
      <c r="AQ33" s="1835"/>
      <c r="AR33" s="99"/>
      <c r="AS33" s="99"/>
      <c r="AT33" s="99"/>
      <c r="AU33" s="99"/>
      <c r="AV33" s="99"/>
      <c r="AW33" s="99"/>
      <c r="AX33" s="99"/>
      <c r="AY33" s="74"/>
      <c r="AZ33" s="74"/>
      <c r="BA33" s="74"/>
      <c r="BD33" s="1233" t="s">
        <v>1985</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1661</v>
      </c>
      <c r="D34" s="1318" t="s">
        <v>1662</v>
      </c>
      <c r="E34" s="794">
        <v>17</v>
      </c>
      <c r="F34" s="736" cm="1" t="str">
        <f t="array" ref="F34:F34">OFFSET(G34,-1,-1)</f>
        <v>0</v>
      </c>
      <c r="L34" s="1285"/>
      <c r="M34" s="1285" cm="1" t="str">
        <f t="array" ref="M34:M34">OFFSET(L34,-1,1)</f>
        <v>0</v>
      </c>
      <c r="N34" s="1285" t="s">
        <v>1966</v>
      </c>
      <c r="O34" s="1285" t="s">
        <v>1738</v>
      </c>
      <c r="P34" s="1285" t="s">
        <v>1986</v>
      </c>
      <c r="Q34" s="1287"/>
      <c r="R34" s="1287"/>
      <c r="S34" s="1285"/>
      <c r="T34" s="805">
        <f>AND(F34&gt;0,OR(ISBLANK(Y34),Y34&gt;0))</f>
        <v>0</v>
      </c>
      <c r="AB34" s="1118" t="s">
        <v>1123</v>
      </c>
      <c r="AC34" s="559" t="s">
        <v>1987</v>
      </c>
      <c r="AD34" s="1014" t="s">
        <v>1368</v>
      </c>
      <c r="AE34" s="308"/>
      <c r="AF34" s="1835"/>
      <c r="AG34" s="1835"/>
      <c r="AH34" s="99"/>
      <c r="AI34" s="99"/>
      <c r="AJ34" s="99"/>
      <c r="AK34" s="99"/>
      <c r="AL34" s="99"/>
      <c r="AM34" s="99"/>
      <c r="AN34" s="99"/>
      <c r="AO34" s="308"/>
      <c r="AP34" s="1835"/>
      <c r="AQ34" s="1835"/>
      <c r="AR34" s="99"/>
      <c r="AS34" s="99"/>
      <c r="AT34" s="99"/>
      <c r="AU34" s="99"/>
      <c r="AV34" s="99"/>
      <c r="AW34" s="99"/>
      <c r="AX34" s="99"/>
      <c r="AY34" s="74"/>
      <c r="AZ34" s="74"/>
      <c r="BA34" s="74"/>
      <c r="BD34" s="1233" t="s">
        <v>1988</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1661</v>
      </c>
      <c r="D35" s="1318" t="s">
        <v>1662</v>
      </c>
      <c r="E35" s="794">
        <v>35</v>
      </c>
      <c r="F35" s="736" cm="1" t="str">
        <f t="array" ref="F35:F35">OFFSET(G35,-1,-1)</f>
        <v>0</v>
      </c>
      <c r="L35" s="1285"/>
      <c r="M35" s="1285" cm="1" t="str">
        <f t="array" ref="M35:M35">OFFSET(L35,-1,1)</f>
        <v>0</v>
      </c>
      <c r="N35" s="1285" t="s">
        <v>1966</v>
      </c>
      <c r="O35" s="1285" t="s">
        <v>1738</v>
      </c>
      <c r="P35" s="1285" t="s">
        <v>1989</v>
      </c>
      <c r="Q35" s="1287"/>
      <c r="R35" s="1287"/>
      <c r="S35" s="1285"/>
      <c r="T35" s="805">
        <f>AND(F35&gt;0,OR(ISBLANK(Y35),Y35&gt;0))</f>
        <v>0</v>
      </c>
      <c r="AB35" s="577" t="s">
        <v>899</v>
      </c>
      <c r="AC35" s="161" t="s">
        <v>1990</v>
      </c>
      <c r="AD35" s="1014" t="s">
        <v>1368</v>
      </c>
      <c r="AE35" s="308">
        <f>AE36+AE39+AE42</f>
        <v>0</v>
      </c>
      <c r="AF35" s="1835">
        <f>AF36+AF39+AF42</f>
        <v>0</v>
      </c>
      <c r="AG35" s="1835">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35">
        <f>AP36+AP39+AP42</f>
        <v>0</v>
      </c>
      <c r="AQ35" s="1835">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1991</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1661</v>
      </c>
      <c r="D36" s="1318" t="s">
        <v>1662</v>
      </c>
      <c r="E36" s="794">
        <v>17</v>
      </c>
      <c r="F36" s="736" cm="1" t="str">
        <f t="array" ref="F36:F36">OFFSET(G36,-1,-1)</f>
        <v>0</v>
      </c>
      <c r="L36" s="1339"/>
      <c r="M36" s="1285" cm="1" t="str">
        <f t="array" ref="M36:M36">OFFSET(L36,-1,1)</f>
        <v>0</v>
      </c>
      <c r="N36" s="1285" t="s">
        <v>1966</v>
      </c>
      <c r="O36" s="1339" t="s">
        <v>1738</v>
      </c>
      <c r="P36" s="1339"/>
      <c r="Q36" s="1341"/>
      <c r="R36" s="1341" t="s">
        <v>1974</v>
      </c>
      <c r="S36" s="1339"/>
      <c r="T36" s="805">
        <f>AND(F36&gt;0,OR(ISBLANK(Y36),Y36&gt;0))</f>
        <v>0</v>
      </c>
      <c r="AB36" s="577" t="s">
        <v>1992</v>
      </c>
      <c r="AC36" s="559" t="s">
        <v>1976</v>
      </c>
      <c r="AD36" s="1014" t="s">
        <v>1368</v>
      </c>
      <c r="AE36" s="308">
        <f>SUM(AE37:AE38)</f>
        <v>0</v>
      </c>
      <c r="AF36" s="1835">
        <f>SUM(AF37:AF38)</f>
        <v>0</v>
      </c>
      <c r="AG36" s="1835">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35">
        <f>SUM(AP37:AP38)</f>
        <v>0</v>
      </c>
      <c r="AQ36" s="1835">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1993</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1661</v>
      </c>
      <c r="D37" s="1318" t="s">
        <v>1662</v>
      </c>
      <c r="E37" s="794">
        <v>17</v>
      </c>
      <c r="F37" s="736" cm="1" t="str">
        <f t="array" ref="F37:F37">OFFSET(G37,-1,-1)</f>
        <v>0</v>
      </c>
      <c r="L37" s="1285" cm="1" t="str">
        <f t="array" ref="L37:L37">AC37</f>
        <v>0</v>
      </c>
      <c r="M37" s="1285" cm="1" t="str">
        <f t="array" ref="M37:M37">OFFSET(L37,-1,1)</f>
        <v>0</v>
      </c>
      <c r="N37" s="1285"/>
      <c r="O37" s="1285"/>
      <c r="P37" s="1285"/>
      <c r="Q37" s="1287"/>
      <c r="R37" s="1287" t="s">
        <v>1974</v>
      </c>
      <c r="S37" s="1285"/>
      <c r="T37" s="805">
        <f>AND(F37&gt;0,OR(ISBLANK(Y37),Y37&gt;0))</f>
        <v>0</v>
      </c>
      <c r="W37" s="172" t="s">
        <v>235</v>
      </c>
      <c r="Y37" s="172">
        <v>0</v>
      </c>
      <c r="AA37" s="915" t="s">
        <v>219</v>
      </c>
      <c r="AB37" s="577" t="str">
        <f>"1.2.1."&amp;Y37</f>
        <v>1.2.1.0</v>
      </c>
      <c r="AC37" s="145"/>
      <c r="AD37" s="1014" t="s">
        <v>1368</v>
      </c>
      <c r="AE37" s="308"/>
      <c r="AF37" s="1835"/>
      <c r="AG37" s="1835"/>
      <c r="AH37" s="99"/>
      <c r="AI37" s="99"/>
      <c r="AJ37" s="99"/>
      <c r="AK37" s="99"/>
      <c r="AL37" s="99"/>
      <c r="AM37" s="99"/>
      <c r="AN37" s="99"/>
      <c r="AO37" s="308"/>
      <c r="AP37" s="1835"/>
      <c r="AQ37" s="1835"/>
      <c r="AR37" s="99"/>
      <c r="AS37" s="99"/>
      <c r="AT37" s="99"/>
      <c r="AU37" s="99"/>
      <c r="AV37" s="99"/>
      <c r="AW37" s="99"/>
      <c r="AX37" s="99"/>
      <c r="AY37" s="74"/>
      <c r="AZ37" s="74"/>
      <c r="BA37" s="74"/>
      <c r="BD37" s="1233" t="s">
        <v>1993</v>
      </c>
      <c r="BE37" s="1233" t="s">
        <v>1994</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915</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1994</v>
      </c>
    </row>
    <row customHeight="1" ht="34.125" hidden="1">
      <c r="C39" s="1299" t="s">
        <v>1661</v>
      </c>
      <c r="D39" s="1318" t="s">
        <v>1662</v>
      </c>
      <c r="E39" s="794">
        <v>35</v>
      </c>
      <c r="F39" s="736" cm="1" t="str">
        <f t="array" ref="F39:F39">OFFSET(G39,-1,-1)</f>
        <v>0</v>
      </c>
      <c r="L39" s="1285"/>
      <c r="M39" s="1285" cm="1" t="str">
        <f t="array" ref="M39:M39">OFFSET(L39,-1,1)</f>
        <v>0</v>
      </c>
      <c r="N39" s="1285"/>
      <c r="O39" s="1285"/>
      <c r="P39" s="1285"/>
      <c r="Q39" s="1287" t="s">
        <v>1978</v>
      </c>
      <c r="R39" s="1287"/>
      <c r="S39" s="1285"/>
      <c r="T39" s="805">
        <f>AND(F39&gt;0,OR(ISBLANK(Y39),Y39&gt;0))</f>
        <v>0</v>
      </c>
      <c r="AB39" s="577" t="s">
        <v>1995</v>
      </c>
      <c r="AC39" s="559" t="s">
        <v>1980</v>
      </c>
      <c r="AD39" s="1014" t="s">
        <v>1368</v>
      </c>
      <c r="AE39" s="308">
        <f>SUM(AE40:AE41)</f>
        <v>0</v>
      </c>
      <c r="AF39" s="1835">
        <f>SUM(AF40:AF41)</f>
        <v>0</v>
      </c>
      <c r="AG39" s="1835">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35">
        <f>SUM(AP40:AP41)</f>
        <v>0</v>
      </c>
      <c r="AQ39" s="1835">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1996</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1661</v>
      </c>
      <c r="D40" s="1318" t="s">
        <v>1662</v>
      </c>
      <c r="E40" s="794">
        <v>17</v>
      </c>
      <c r="F40" s="736" cm="1" t="str">
        <f t="array" ref="F40:F40">OFFSET(G40,-1,-1)</f>
        <v>0</v>
      </c>
      <c r="L40" s="1285" cm="1" t="str">
        <f t="array" ref="L40:L40">AC40</f>
        <v>0</v>
      </c>
      <c r="M40" s="1285" cm="1" t="str">
        <f t="array" ref="M40:M40">OFFSET(L40,-1,1)</f>
        <v>0</v>
      </c>
      <c r="N40" s="1285"/>
      <c r="O40" s="1285"/>
      <c r="P40" s="1285"/>
      <c r="Q40" s="1287" t="s">
        <v>1978</v>
      </c>
      <c r="R40" s="1287"/>
      <c r="S40" s="1285"/>
      <c r="T40" s="805">
        <f>AND(F40&gt;0,OR(ISBLANK(Y40),Y40&gt;0))</f>
        <v>0</v>
      </c>
      <c r="W40" s="172" t="s">
        <v>235</v>
      </c>
      <c r="Y40" s="172">
        <v>0</v>
      </c>
      <c r="AA40" s="915" t="s">
        <v>219</v>
      </c>
      <c r="AB40" s="577" t="str">
        <f>"1.2.2."&amp;Y40</f>
        <v>1.2.2.0</v>
      </c>
      <c r="AC40" s="145"/>
      <c r="AD40" s="1014" t="s">
        <v>1368</v>
      </c>
      <c r="AE40" s="308"/>
      <c r="AF40" s="1835"/>
      <c r="AG40" s="1835"/>
      <c r="AH40" s="99"/>
      <c r="AI40" s="99"/>
      <c r="AJ40" s="99"/>
      <c r="AK40" s="99"/>
      <c r="AL40" s="99"/>
      <c r="AM40" s="99"/>
      <c r="AN40" s="99"/>
      <c r="AO40" s="308"/>
      <c r="AP40" s="1835"/>
      <c r="AQ40" s="1835"/>
      <c r="AR40" s="99"/>
      <c r="AS40" s="99"/>
      <c r="AT40" s="99"/>
      <c r="AU40" s="99"/>
      <c r="AV40" s="99"/>
      <c r="AW40" s="99"/>
      <c r="AX40" s="99"/>
      <c r="AY40" s="74"/>
      <c r="AZ40" s="74"/>
      <c r="BA40" s="74"/>
      <c r="BD40" s="1233" t="s">
        <v>1996</v>
      </c>
      <c r="BE40" s="1233" t="s">
        <v>1997</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926</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1997</v>
      </c>
    </row>
    <row customHeight="1" ht="16.575" hidden="1">
      <c r="C42" s="1299" t="s">
        <v>1661</v>
      </c>
      <c r="D42" s="1318" t="s">
        <v>1662</v>
      </c>
      <c r="E42" s="794">
        <v>17</v>
      </c>
      <c r="F42" s="736" cm="1" t="str">
        <f t="array" ref="F42:F42">OFFSET(G42,-1,-1)</f>
        <v>0</v>
      </c>
      <c r="L42" s="1285"/>
      <c r="M42" s="1285" cm="1" t="str">
        <f t="array" ref="M42:M42">OFFSET(L42,-1,1)</f>
        <v>0</v>
      </c>
      <c r="N42" s="1285"/>
      <c r="O42" s="1285"/>
      <c r="P42" s="1285"/>
      <c r="Q42" s="1287" t="s">
        <v>1982</v>
      </c>
      <c r="R42" s="1287"/>
      <c r="S42" s="1285"/>
      <c r="T42" s="805">
        <f>AND(F42&gt;0,OR(ISBLANK(Y42),Y42&gt;0))</f>
        <v>0</v>
      </c>
      <c r="AB42" s="1119" t="s">
        <v>1998</v>
      </c>
      <c r="AC42" s="559" t="s">
        <v>1984</v>
      </c>
      <c r="AD42" s="1014" t="s">
        <v>1368</v>
      </c>
      <c r="AE42" s="308">
        <f>SUM(AE43:AE44)</f>
        <v>0</v>
      </c>
      <c r="AF42" s="1835">
        <f>SUM(AF43:AF44)</f>
        <v>0</v>
      </c>
      <c r="AG42" s="1835">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35">
        <f>SUM(AP43:AP44)</f>
        <v>0</v>
      </c>
      <c r="AQ42" s="1835">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1999</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1661</v>
      </c>
      <c r="D43" s="1318" t="s">
        <v>1662</v>
      </c>
      <c r="E43" s="794">
        <v>17</v>
      </c>
      <c r="F43" s="736" cm="1" t="str">
        <f t="array" ref="F43:F43">OFFSET(G43,-1,-1)</f>
        <v>0</v>
      </c>
      <c r="L43" s="1285" cm="1" t="str">
        <f t="array" ref="L43:L43">AC43</f>
        <v>0</v>
      </c>
      <c r="M43" s="1285" cm="1" t="str">
        <f t="array" ref="M43:M43">OFFSET(L43,-1,1)</f>
        <v>0</v>
      </c>
      <c r="N43" s="1285"/>
      <c r="O43" s="1285"/>
      <c r="P43" s="1285"/>
      <c r="Q43" s="1287" t="s">
        <v>1982</v>
      </c>
      <c r="R43" s="1287"/>
      <c r="S43" s="1285"/>
      <c r="T43" s="805">
        <f>AND(F43&gt;0,OR(ISBLANK(Y43),Y43&gt;0))</f>
        <v>0</v>
      </c>
      <c r="W43" s="172" t="s">
        <v>235</v>
      </c>
      <c r="Y43" s="172">
        <v>0</v>
      </c>
      <c r="AA43" s="915" t="s">
        <v>219</v>
      </c>
      <c r="AB43" s="577" t="str">
        <f>"1.2.3."&amp;Y43</f>
        <v>1.2.3.0</v>
      </c>
      <c r="AC43" s="145"/>
      <c r="AD43" s="1014" t="s">
        <v>1368</v>
      </c>
      <c r="AE43" s="308"/>
      <c r="AF43" s="1835"/>
      <c r="AG43" s="1835"/>
      <c r="AH43" s="99"/>
      <c r="AI43" s="99"/>
      <c r="AJ43" s="99"/>
      <c r="AK43" s="99"/>
      <c r="AL43" s="99"/>
      <c r="AM43" s="99"/>
      <c r="AN43" s="99"/>
      <c r="AO43" s="308"/>
      <c r="AP43" s="1835"/>
      <c r="AQ43" s="1835"/>
      <c r="AR43" s="99"/>
      <c r="AS43" s="99"/>
      <c r="AT43" s="99"/>
      <c r="AU43" s="99"/>
      <c r="AV43" s="99"/>
      <c r="AW43" s="99"/>
      <c r="AX43" s="99"/>
      <c r="AY43" s="74"/>
      <c r="AZ43" s="74"/>
      <c r="BA43" s="74"/>
      <c r="BD43" s="1233" t="s">
        <v>1999</v>
      </c>
      <c r="BE43" s="1233" t="s">
        <v>2000</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1166</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2000</v>
      </c>
    </row>
    <row customHeight="1" ht="16.575" hidden="1">
      <c r="C45" s="1299" t="s">
        <v>1661</v>
      </c>
      <c r="D45" s="1318" t="s">
        <v>1662</v>
      </c>
      <c r="E45" s="794">
        <v>17</v>
      </c>
      <c r="F45" s="736" cm="1" t="str">
        <f t="array" ref="F45:F45">OFFSET(G45,-1,-1)</f>
        <v>0</v>
      </c>
      <c r="L45" s="1285"/>
      <c r="M45" s="1285" cm="1" t="str">
        <f t="array" ref="M45:M45">OFFSET(L45,-1,1)</f>
        <v>0</v>
      </c>
      <c r="N45" s="1285" t="s">
        <v>2001</v>
      </c>
      <c r="O45" s="1285"/>
      <c r="P45" s="1285"/>
      <c r="Q45" s="1287"/>
      <c r="R45" s="1287"/>
      <c r="S45" s="1285"/>
      <c r="T45" s="805">
        <f>AND(F45&gt;0,OR(ISBLANK(Y45),Y45&gt;0))</f>
        <v>0</v>
      </c>
      <c r="AB45" s="1119" t="s">
        <v>901</v>
      </c>
      <c r="AC45" s="161" t="s">
        <v>2002</v>
      </c>
      <c r="AD45" s="1014" t="s">
        <v>1368</v>
      </c>
      <c r="AE45" s="308"/>
      <c r="AF45" s="1835"/>
      <c r="AG45" s="1835"/>
      <c r="AH45" s="99"/>
      <c r="AI45" s="99"/>
      <c r="AJ45" s="99"/>
      <c r="AK45" s="99"/>
      <c r="AL45" s="99"/>
      <c r="AM45" s="99"/>
      <c r="AN45" s="99"/>
      <c r="AO45" s="308"/>
      <c r="AP45" s="1835"/>
      <c r="AQ45" s="1835"/>
      <c r="AR45" s="99"/>
      <c r="AS45" s="99"/>
      <c r="AT45" s="99"/>
      <c r="AU45" s="99"/>
      <c r="AV45" s="99"/>
      <c r="AW45" s="99"/>
      <c r="AX45" s="99"/>
      <c r="AY45" s="74"/>
      <c r="AZ45" s="74"/>
      <c r="BA45" s="74"/>
      <c r="BD45" s="1233" t="s">
        <v>1356</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440</v>
      </c>
      <c r="AC46" s="320" t="s">
        <v>2003</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1689</v>
      </c>
      <c r="D47" s="1318" t="s">
        <v>1690</v>
      </c>
      <c r="E47" s="794">
        <v>17</v>
      </c>
      <c r="F47" s="736" cm="1" t="str">
        <f t="array" ref="F47:F47">OFFSET(G47,-1,-1)</f>
        <v>0</v>
      </c>
      <c r="G47" s="190" t="s">
        <v>1691</v>
      </c>
      <c r="L47" s="1285"/>
      <c r="M47" s="1285" cm="1" t="str">
        <f t="array" ref="M47:M47">OFFSET(L47,-1,1)</f>
        <v>0</v>
      </c>
      <c r="N47" s="1285"/>
      <c r="O47" s="1285"/>
      <c r="P47" s="1285"/>
      <c r="Q47" s="1287"/>
      <c r="R47" s="1287"/>
      <c r="S47" s="1287" t="s">
        <v>1692</v>
      </c>
      <c r="T47" s="805">
        <f>AND(F47&gt;0,OR(ISBLANK(Y47),Y47&gt;0))</f>
        <v>0</v>
      </c>
      <c r="AB47" s="170" t="s">
        <v>443</v>
      </c>
      <c r="AC47" s="286" t="s">
        <v>1693</v>
      </c>
      <c r="AD47" s="555" t="s">
        <v>586</v>
      </c>
      <c r="AE47" s="308"/>
      <c r="AF47" s="1835"/>
      <c r="AG47" s="1835"/>
      <c r="AH47" s="99"/>
      <c r="AI47" s="99"/>
      <c r="AJ47" s="99"/>
      <c r="AK47" s="99"/>
      <c r="AL47" s="99"/>
      <c r="AM47" s="99"/>
      <c r="AN47" s="99"/>
      <c r="AO47" s="308"/>
      <c r="AP47" s="1835"/>
      <c r="AQ47" s="1835"/>
      <c r="AR47" s="99"/>
      <c r="AS47" s="99"/>
      <c r="AT47" s="99"/>
      <c r="AU47" s="99"/>
      <c r="AV47" s="99"/>
      <c r="AW47" s="99"/>
      <c r="AX47" s="99"/>
      <c r="AY47" s="74"/>
      <c r="AZ47" s="74"/>
      <c r="BA47" s="74"/>
      <c r="BD47" s="1233" t="s">
        <v>2004</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1695</v>
      </c>
      <c r="D48" s="1318" t="s">
        <v>1696</v>
      </c>
      <c r="E48" s="794">
        <v>17</v>
      </c>
      <c r="F48" s="736" cm="1" t="str">
        <f t="array" ref="F48:F48">OFFSET(G48,-1,-1)</f>
        <v>0</v>
      </c>
      <c r="G48" s="736" t="s">
        <v>1697</v>
      </c>
      <c r="L48" s="1285"/>
      <c r="M48" s="1285" cm="1" t="str">
        <f t="array" ref="M48:M48">OFFSET(L48,-1,1)</f>
        <v>0</v>
      </c>
      <c r="N48" s="1285"/>
      <c r="O48" s="1285"/>
      <c r="P48" s="1285"/>
      <c r="Q48" s="1287"/>
      <c r="R48" s="1287"/>
      <c r="S48" s="1287" t="s">
        <v>1692</v>
      </c>
      <c r="T48" s="805">
        <f>AND(F48&gt;0,OR(ISBLANK(Y48),Y48&gt;0))</f>
        <v>0</v>
      </c>
      <c r="AB48" s="170" t="s">
        <v>470</v>
      </c>
      <c r="AC48" s="286" t="s">
        <v>1698</v>
      </c>
      <c r="AD48" s="555" t="s">
        <v>889</v>
      </c>
      <c r="AE48" s="308"/>
      <c r="AF48" s="1835"/>
      <c r="AG48" s="1835"/>
      <c r="AH48" s="99"/>
      <c r="AI48" s="99"/>
      <c r="AJ48" s="99"/>
      <c r="AK48" s="99"/>
      <c r="AL48" s="99"/>
      <c r="AM48" s="99"/>
      <c r="AN48" s="99"/>
      <c r="AO48" s="308"/>
      <c r="AP48" s="1835"/>
      <c r="AQ48" s="1835"/>
      <c r="AR48" s="99"/>
      <c r="AS48" s="99"/>
      <c r="AT48" s="99"/>
      <c r="AU48" s="99"/>
      <c r="AV48" s="99"/>
      <c r="AW48" s="99"/>
      <c r="AX48" s="99"/>
      <c r="AY48" s="74"/>
      <c r="AZ48" s="74"/>
      <c r="BA48" s="74"/>
      <c r="BD48" s="1233" t="s">
        <v>2005</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1689</v>
      </c>
      <c r="D49" s="1318" t="s">
        <v>1690</v>
      </c>
      <c r="E49" s="794">
        <v>17</v>
      </c>
      <c r="F49" s="736" cm="1" t="str">
        <f t="array" ref="F49:F49">OFFSET(G49,-1,-1)</f>
        <v>0</v>
      </c>
      <c r="G49" s="190" t="s">
        <v>1700</v>
      </c>
      <c r="L49" s="1285"/>
      <c r="M49" s="1285" cm="1" t="str">
        <f t="array" ref="M49:M49">OFFSET(L49,-1,1)</f>
        <v>0</v>
      </c>
      <c r="N49" s="1285"/>
      <c r="O49" s="1285"/>
      <c r="P49" s="1285"/>
      <c r="Q49" s="1287"/>
      <c r="R49" s="1287"/>
      <c r="S49" s="1287" t="s">
        <v>1701</v>
      </c>
      <c r="T49" s="805">
        <f>AND(F49&gt;0,OR(ISBLANK(Y49),Y49&gt;0))</f>
        <v>0</v>
      </c>
      <c r="AB49" s="170" t="s">
        <v>474</v>
      </c>
      <c r="AC49" s="286" t="s">
        <v>1702</v>
      </c>
      <c r="AD49" s="309" t="s">
        <v>586</v>
      </c>
      <c r="AE49" s="308"/>
      <c r="AF49" s="1835"/>
      <c r="AG49" s="1835"/>
      <c r="AH49" s="99"/>
      <c r="AI49" s="99"/>
      <c r="AJ49" s="99"/>
      <c r="AK49" s="99"/>
      <c r="AL49" s="99"/>
      <c r="AM49" s="99"/>
      <c r="AN49" s="99"/>
      <c r="AO49" s="308"/>
      <c r="AP49" s="1835"/>
      <c r="AQ49" s="1835"/>
      <c r="AR49" s="99"/>
      <c r="AS49" s="99"/>
      <c r="AT49" s="99"/>
      <c r="AU49" s="99"/>
      <c r="AV49" s="99"/>
      <c r="AW49" s="99"/>
      <c r="AX49" s="99"/>
      <c r="AY49" s="74"/>
      <c r="AZ49" s="74"/>
      <c r="BA49" s="74"/>
      <c r="BD49" s="1233" t="s">
        <v>2006</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1695</v>
      </c>
      <c r="D50" s="1318" t="s">
        <v>1696</v>
      </c>
      <c r="E50" s="794">
        <v>17</v>
      </c>
      <c r="F50" s="736" cm="1" t="str">
        <f t="array" ref="F50:F50">OFFSET(G50,-1,-1)</f>
        <v>0</v>
      </c>
      <c r="G50" s="736" t="s">
        <v>1704</v>
      </c>
      <c r="L50" s="1284"/>
      <c r="M50" s="1285" cm="1" t="str">
        <f t="array" ref="M50:M50">OFFSET(L50,-1,1)</f>
        <v>0</v>
      </c>
      <c r="N50" s="1284"/>
      <c r="O50" s="1284"/>
      <c r="P50" s="1284"/>
      <c r="Q50" s="1295"/>
      <c r="R50" s="1295"/>
      <c r="S50" s="1287" t="s">
        <v>1701</v>
      </c>
      <c r="T50" s="805">
        <f>AND(F50&gt;0,OR(ISBLANK(Y50),Y50&gt;0))</f>
        <v>0</v>
      </c>
      <c r="AB50" s="170" t="s">
        <v>478</v>
      </c>
      <c r="AC50" s="286" t="s">
        <v>1705</v>
      </c>
      <c r="AD50" s="166" t="s">
        <v>889</v>
      </c>
      <c r="AE50" s="308">
        <f>_xlfn.IFERROR((AE28*1000-AE47*AE48)/AE49,0)</f>
        <v>0</v>
      </c>
      <c r="AF50" s="1835">
        <f>_xlfn.IFERROR((AF28*1000-AF47*AF48)/AF49,0)</f>
        <v>0</v>
      </c>
      <c r="AG50" s="1835">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35">
        <f>_xlfn.IFERROR((AP28*1000-AP47*AP48)/AP49,0)</f>
        <v>0</v>
      </c>
      <c r="AQ50" s="1835">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2007</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1707</v>
      </c>
      <c r="D51" s="1318" t="s">
        <v>1708</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1527</v>
      </c>
      <c r="AC51" s="161" t="s">
        <v>2008</v>
      </c>
      <c r="AD51" s="555" t="s">
        <v>485</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2009</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1711</v>
      </c>
      <c r="D52" s="1318" t="s">
        <v>1712</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1955</v>
      </c>
      <c r="AC52" s="161" t="s">
        <v>2010</v>
      </c>
      <c r="AD52" s="555" t="s">
        <v>889</v>
      </c>
      <c r="AE52" s="705">
        <f>_xlfn.IFERROR(AE28*1000/(AE47+AE49),0)</f>
        <v>0</v>
      </c>
      <c r="AF52" s="2039">
        <f>_xlfn.IFERROR(AF28*1000/(AF47+AF49),0)</f>
        <v>0</v>
      </c>
      <c r="AG52" s="2039">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39">
        <f>_xlfn.IFERROR(AP28*1000/(AP47+AP49),0)</f>
        <v>0</v>
      </c>
      <c r="AQ52" s="2039">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2011</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1755</v>
      </c>
      <c r="D53" s="1318" t="s">
        <v>1756</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608</v>
      </c>
      <c r="AC53" s="320" t="s">
        <v>1758</v>
      </c>
      <c r="AD53" s="571" t="s">
        <v>1368</v>
      </c>
      <c r="AE53" s="308"/>
      <c r="AF53" s="1835"/>
      <c r="AG53" s="1835"/>
      <c r="AH53" s="99"/>
      <c r="AI53" s="99"/>
      <c r="AJ53" s="99"/>
      <c r="AK53" s="99"/>
      <c r="AL53" s="99"/>
      <c r="AM53" s="99"/>
      <c r="AN53" s="99"/>
      <c r="AO53" s="308"/>
      <c r="AP53" s="1835"/>
      <c r="AQ53" s="1835"/>
      <c r="AR53" s="99"/>
      <c r="AS53" s="99"/>
      <c r="AT53" s="99"/>
      <c r="AU53" s="99"/>
      <c r="AV53" s="99"/>
      <c r="AW53" s="99"/>
      <c r="AX53" s="99"/>
      <c r="AY53" s="74"/>
      <c r="AZ53" s="74"/>
      <c r="BA53" s="74"/>
      <c r="BD53" s="1233" t="s">
        <v>1759</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22"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36" t="s">
        <v>337</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42" customFormat="1" customHeight="1" ht="16.5">
      <c r="A55" s="1184"/>
      <c r="B55" s="925"/>
      <c r="C55" s="1299" t="s">
        <v>1661</v>
      </c>
      <c r="D55" s="1318" t="s">
        <v>1662</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ТЭ.73.28136693.0002</v>
      </c>
      <c r="N55" s="1285" t="s">
        <v>1966</v>
      </c>
      <c r="O55" s="1285"/>
      <c r="P55" s="1285"/>
      <c r="Q55" s="1287"/>
      <c r="R55" s="1287"/>
      <c r="S55" s="1285"/>
      <c r="T55" s="805">
        <f>AND(F55&gt;0,OR(ISBLANK(Y55),Y55&gt;0))</f>
        <v>1</v>
      </c>
      <c r="U55" s="1437"/>
      <c r="V55" s="1437"/>
      <c r="W55" s="1437"/>
      <c r="X55" s="1437"/>
      <c r="Y55" s="1437"/>
      <c r="Z55" s="1437"/>
      <c r="AA55" s="227"/>
      <c r="AB55" s="170">
        <v>1</v>
      </c>
      <c r="AC55" s="624" t="s">
        <v>1967</v>
      </c>
      <c r="AD55" s="555" t="s">
        <v>1368</v>
      </c>
      <c r="AE55" s="308">
        <f>AE56+AE62+AE72</f>
        <v>0</v>
      </c>
      <c r="AF55" s="1835">
        <f>AF56+AF62+AF72</f>
        <v>0</v>
      </c>
      <c r="AG55" s="1835">
        <f>AG56+AG62+AG72</f>
        <v>0</v>
      </c>
      <c r="AH55" s="1860">
        <f>AH56+AH62+AH72</f>
        <v>0</v>
      </c>
      <c r="AI55" s="1860">
        <f>AI56+AI62+AI72</f>
        <v>0</v>
      </c>
      <c r="AJ55" s="1860">
        <f>AJ56+AJ62+AJ72</f>
        <v>0</v>
      </c>
      <c r="AK55" s="1860">
        <f>AK56+AK62+AK72</f>
        <v>0</v>
      </c>
      <c r="AL55" s="1860">
        <f>AL56+AL62+AL72</f>
        <v>0</v>
      </c>
      <c r="AM55" s="1860">
        <f>AM56+AM62+AM72</f>
        <v>0</v>
      </c>
      <c r="AN55" s="1860">
        <f>AN56+AN62+AN72</f>
        <v>0</v>
      </c>
      <c r="AO55" s="308">
        <f>AO56+AO62+AO72</f>
        <v>0</v>
      </c>
      <c r="AP55" s="1835">
        <f>AP56+AP62+AP72</f>
        <v>0</v>
      </c>
      <c r="AQ55" s="1835">
        <f>AQ56+AQ62+AQ72</f>
        <v>0</v>
      </c>
      <c r="AR55" s="1860">
        <f>AR56+AR62+AR72</f>
        <v>0</v>
      </c>
      <c r="AS55" s="1860">
        <f>AS56+AS62+AS72</f>
        <v>0</v>
      </c>
      <c r="AT55" s="1860">
        <f>AT56+AT62+AT72</f>
        <v>0</v>
      </c>
      <c r="AU55" s="1860">
        <f>AU56+AU62+AU72</f>
        <v>0</v>
      </c>
      <c r="AV55" s="1860">
        <f>AV56+AV62+AV72</f>
        <v>0</v>
      </c>
      <c r="AW55" s="1860">
        <f>AW56+AW62+AW72</f>
        <v>0</v>
      </c>
      <c r="AX55" s="1860">
        <f>AX56+AX62+AX72</f>
        <v>0</v>
      </c>
      <c r="AY55" s="1792"/>
      <c r="AZ55" s="1792"/>
      <c r="BA55" s="1792"/>
      <c r="BB55" s="227"/>
      <c r="BC55" s="227"/>
      <c r="BD55" s="1233" t="s">
        <v>1968</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M10655::ТЭ.73.28136693.0002::Неопределено::110.0.36.::Неопределено::Неопределено::Неопределено::Неопределено::Неопределено</v>
      </c>
    </row>
    <row s="1642" customFormat="1" customHeight="1" ht="16.5">
      <c r="A56" s="1184"/>
      <c r="B56" s="925"/>
      <c r="C56" s="1299" t="s">
        <v>1661</v>
      </c>
      <c r="D56" s="1318" t="s">
        <v>1662</v>
      </c>
      <c r="E56" s="794">
        <v>17</v>
      </c>
      <c r="F56" s="736" cm="1" t="str">
        <f t="array" ref="F56:F56">OFFSET(G56,-1,-1)</f>
        <v>1</v>
      </c>
      <c r="G56" s="227"/>
      <c r="H56" s="227"/>
      <c r="I56" s="227"/>
      <c r="J56" s="227"/>
      <c r="K56" s="227"/>
      <c r="L56" s="1285"/>
      <c r="M56" s="1285" cm="1" t="str">
        <f t="array" ref="M56:M56">OFFSET(L56,-1,1)</f>
        <v>ТЭ.73.28136693.0002</v>
      </c>
      <c r="N56" s="1285" t="s">
        <v>1966</v>
      </c>
      <c r="O56" s="1285" t="s">
        <v>1738</v>
      </c>
      <c r="P56" s="1285"/>
      <c r="Q56" s="1287"/>
      <c r="R56" s="1287"/>
      <c r="S56" s="1285"/>
      <c r="T56" s="805">
        <f>AND(F56&gt;0,OR(ISBLANK(Y56),Y56&gt;0))</f>
        <v>1</v>
      </c>
      <c r="U56" s="1437"/>
      <c r="V56" s="1437"/>
      <c r="W56" s="1437"/>
      <c r="X56" s="1437"/>
      <c r="Y56" s="1437"/>
      <c r="Z56" s="1437"/>
      <c r="AA56" s="227"/>
      <c r="AB56" s="170" t="s">
        <v>436</v>
      </c>
      <c r="AC56" s="1032" t="s">
        <v>1969</v>
      </c>
      <c r="AD56" s="555" t="s">
        <v>1368</v>
      </c>
      <c r="AE56" s="308">
        <f>AE57+AE61</f>
        <v>0</v>
      </c>
      <c r="AF56" s="1835">
        <f>AF57+AF61</f>
        <v>0</v>
      </c>
      <c r="AG56" s="1835">
        <f>AG57+AG61</f>
        <v>0</v>
      </c>
      <c r="AH56" s="1860">
        <f>AH57+AH61</f>
        <v>0</v>
      </c>
      <c r="AI56" s="1860">
        <f>AI57+AI61</f>
        <v>0</v>
      </c>
      <c r="AJ56" s="1860">
        <f>AJ57+AJ61</f>
        <v>0</v>
      </c>
      <c r="AK56" s="1860">
        <f>AK57+AK61</f>
        <v>0</v>
      </c>
      <c r="AL56" s="1860">
        <f>AL57+AL61</f>
        <v>0</v>
      </c>
      <c r="AM56" s="1860">
        <f>AM57+AM61</f>
        <v>0</v>
      </c>
      <c r="AN56" s="1860">
        <f>AN57+AN61</f>
        <v>0</v>
      </c>
      <c r="AO56" s="308">
        <f>AO57+AO61</f>
        <v>0</v>
      </c>
      <c r="AP56" s="1835">
        <f>AP57+AP61</f>
        <v>0</v>
      </c>
      <c r="AQ56" s="1835">
        <f>AQ57+AQ61</f>
        <v>0</v>
      </c>
      <c r="AR56" s="1860">
        <f>AR57+AR61</f>
        <v>0</v>
      </c>
      <c r="AS56" s="1860">
        <f>AS57+AS61</f>
        <v>0</v>
      </c>
      <c r="AT56" s="1860">
        <f>AT57+AT61</f>
        <v>0</v>
      </c>
      <c r="AU56" s="1860">
        <f>AU57+AU61</f>
        <v>0</v>
      </c>
      <c r="AV56" s="1860">
        <f>AV57+AV61</f>
        <v>0</v>
      </c>
      <c r="AW56" s="1860">
        <f>AW57+AW61</f>
        <v>0</v>
      </c>
      <c r="AX56" s="1860">
        <f>AX57+AX61</f>
        <v>0</v>
      </c>
      <c r="AY56" s="1792"/>
      <c r="AZ56" s="1792"/>
      <c r="BA56" s="1792"/>
      <c r="BB56" s="227"/>
      <c r="BC56" s="227"/>
      <c r="BD56" s="1233" t="s">
        <v>1970</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M10655::ТЭ.73.28136693.0002::Неопределено::110.0.36.::90.0.0.::Неопределено::Неопределено::Неопределено::Неопределено</v>
      </c>
    </row>
    <row s="1642" customFormat="1" customHeight="1" ht="16.5">
      <c r="A57" s="1184"/>
      <c r="B57" s="925"/>
      <c r="C57" s="1299" t="s">
        <v>1661</v>
      </c>
      <c r="D57" s="1318" t="s">
        <v>1662</v>
      </c>
      <c r="E57" s="794">
        <v>17</v>
      </c>
      <c r="F57" s="736" cm="1" t="str">
        <f t="array" ref="F57:F57">OFFSET(G57,-1,-1)</f>
        <v>1</v>
      </c>
      <c r="G57" s="227"/>
      <c r="H57" s="227"/>
      <c r="I57" s="227"/>
      <c r="J57" s="227"/>
      <c r="K57" s="227"/>
      <c r="L57" s="1285"/>
      <c r="M57" s="1285" cm="1" t="str">
        <f t="array" ref="M57:M57">OFFSET(L57,-1,1)</f>
        <v>ТЭ.73.28136693.0002</v>
      </c>
      <c r="N57" s="1285" t="s">
        <v>1966</v>
      </c>
      <c r="O57" s="1285" t="s">
        <v>1738</v>
      </c>
      <c r="P57" s="1285" t="s">
        <v>1971</v>
      </c>
      <c r="Q57" s="1287"/>
      <c r="R57" s="1287"/>
      <c r="S57" s="1285"/>
      <c r="T57" s="805">
        <f>AND(F57&gt;0,OR(ISBLANK(Y57),Y57&gt;0))</f>
        <v>1</v>
      </c>
      <c r="U57" s="1437"/>
      <c r="V57" s="1437"/>
      <c r="W57" s="1437"/>
      <c r="X57" s="1437"/>
      <c r="Y57" s="1437"/>
      <c r="Z57" s="1437"/>
      <c r="AA57" s="227"/>
      <c r="AB57" s="577" t="s">
        <v>1119</v>
      </c>
      <c r="AC57" s="559" t="s">
        <v>1972</v>
      </c>
      <c r="AD57" s="1014" t="s">
        <v>1368</v>
      </c>
      <c r="AE57" s="308"/>
      <c r="AF57" s="1835"/>
      <c r="AG57" s="1835"/>
      <c r="AH57" s="1860"/>
      <c r="AI57" s="1860"/>
      <c r="AJ57" s="1860"/>
      <c r="AK57" s="1860"/>
      <c r="AL57" s="1860"/>
      <c r="AM57" s="1860"/>
      <c r="AN57" s="1860"/>
      <c r="AO57" s="308"/>
      <c r="AP57" s="1835"/>
      <c r="AQ57" s="1835"/>
      <c r="AR57" s="1860"/>
      <c r="AS57" s="1860"/>
      <c r="AT57" s="1860"/>
      <c r="AU57" s="1860"/>
      <c r="AV57" s="1860"/>
      <c r="AW57" s="1860"/>
      <c r="AX57" s="1860"/>
      <c r="AY57" s="1792"/>
      <c r="AZ57" s="1792"/>
      <c r="BA57" s="1792"/>
      <c r="BB57" s="227"/>
      <c r="BC57" s="227"/>
      <c r="BD57" s="1233" t="s">
        <v>1973</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M10655::ТЭ.73.28136693.0002::Неопределено::110.0.36.::90.0.0.::33.0.8.::Неопределено::Неопределено::Неопределено</v>
      </c>
    </row>
    <row s="1642" customFormat="1" customHeight="1" ht="16.5">
      <c r="A58" s="1184"/>
      <c r="B58" s="925"/>
      <c r="C58" s="1299" t="s">
        <v>1661</v>
      </c>
      <c r="D58" s="1318" t="s">
        <v>1662</v>
      </c>
      <c r="E58" s="794">
        <v>17</v>
      </c>
      <c r="F58" s="736" cm="1" t="str">
        <f t="array" ref="F58:F58">OFFSET(G58,-1,-1)</f>
        <v>1</v>
      </c>
      <c r="G58" s="227"/>
      <c r="H58" s="227"/>
      <c r="I58" s="227"/>
      <c r="J58" s="227"/>
      <c r="K58" s="227"/>
      <c r="L58" s="1285"/>
      <c r="M58" s="1285" cm="1" t="str">
        <f t="array" ref="M58:M58">OFFSET(L58,-1,1)</f>
        <v>ТЭ.73.28136693.0002</v>
      </c>
      <c r="N58" s="1285" t="s">
        <v>1966</v>
      </c>
      <c r="O58" s="1285" t="s">
        <v>1738</v>
      </c>
      <c r="P58" s="1285" t="s">
        <v>1971</v>
      </c>
      <c r="Q58" s="1287"/>
      <c r="R58" s="1287" t="s">
        <v>1974</v>
      </c>
      <c r="S58" s="1285"/>
      <c r="T58" s="805">
        <f>AND(F58&gt;0,OR(ISBLANK(Y58),Y58&gt;0))</f>
        <v>1</v>
      </c>
      <c r="U58" s="1437"/>
      <c r="V58" s="1437"/>
      <c r="W58" s="1437"/>
      <c r="X58" s="1437"/>
      <c r="Y58" s="1437"/>
      <c r="Z58" s="1437"/>
      <c r="AA58" s="227"/>
      <c r="AB58" s="577" t="s">
        <v>1975</v>
      </c>
      <c r="AC58" s="587" t="s">
        <v>1976</v>
      </c>
      <c r="AD58" s="1014" t="s">
        <v>1368</v>
      </c>
      <c r="AE58" s="308"/>
      <c r="AF58" s="1835"/>
      <c r="AG58" s="1835"/>
      <c r="AH58" s="1860"/>
      <c r="AI58" s="1860"/>
      <c r="AJ58" s="1860"/>
      <c r="AK58" s="1860"/>
      <c r="AL58" s="1860"/>
      <c r="AM58" s="1860"/>
      <c r="AN58" s="1860"/>
      <c r="AO58" s="308"/>
      <c r="AP58" s="1835"/>
      <c r="AQ58" s="1835"/>
      <c r="AR58" s="1860"/>
      <c r="AS58" s="1860"/>
      <c r="AT58" s="1860"/>
      <c r="AU58" s="1860"/>
      <c r="AV58" s="1860"/>
      <c r="AW58" s="1860"/>
      <c r="AX58" s="1860"/>
      <c r="AY58" s="1792"/>
      <c r="AZ58" s="1792"/>
      <c r="BA58" s="1792"/>
      <c r="BB58" s="227"/>
      <c r="BC58" s="227"/>
      <c r="BD58" s="1233" t="s">
        <v>1977</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M10655::ТЭ.73.28136693.0002::Неопределено::110.0.36.::90.0.0.::33.0.8.::Неопределено::22.0.10.::Неопределено</v>
      </c>
    </row>
    <row s="1642" customFormat="1" customHeight="1" ht="33.75">
      <c r="A59" s="1184"/>
      <c r="B59" s="925"/>
      <c r="C59" s="1299" t="s">
        <v>1661</v>
      </c>
      <c r="D59" s="1318" t="s">
        <v>1662</v>
      </c>
      <c r="E59" s="794">
        <v>35</v>
      </c>
      <c r="F59" s="736" cm="1" t="str">
        <f t="array" ref="F59:F59">OFFSET(G59,-1,-1)</f>
        <v>1</v>
      </c>
      <c r="G59" s="227"/>
      <c r="H59" s="227"/>
      <c r="I59" s="227"/>
      <c r="J59" s="227"/>
      <c r="K59" s="227"/>
      <c r="L59" s="1285"/>
      <c r="M59" s="1285" cm="1" t="str">
        <f t="array" ref="M59:M59">OFFSET(L59,-1,1)</f>
        <v>ТЭ.73.28136693.0002</v>
      </c>
      <c r="N59" s="1285" t="s">
        <v>1966</v>
      </c>
      <c r="O59" s="1285" t="s">
        <v>1738</v>
      </c>
      <c r="P59" s="1285" t="s">
        <v>1971</v>
      </c>
      <c r="Q59" s="1287" t="s">
        <v>1978</v>
      </c>
      <c r="R59" s="1287"/>
      <c r="S59" s="1285"/>
      <c r="T59" s="805">
        <f>AND(F59&gt;0,OR(ISBLANK(Y59),Y59&gt;0))</f>
        <v>1</v>
      </c>
      <c r="U59" s="1437"/>
      <c r="V59" s="1437"/>
      <c r="W59" s="1437"/>
      <c r="X59" s="1437"/>
      <c r="Y59" s="1437"/>
      <c r="Z59" s="1437"/>
      <c r="AA59" s="227"/>
      <c r="AB59" s="577" t="s">
        <v>1979</v>
      </c>
      <c r="AC59" s="578" t="s">
        <v>1980</v>
      </c>
      <c r="AD59" s="1014" t="s">
        <v>1368</v>
      </c>
      <c r="AE59" s="308"/>
      <c r="AF59" s="1835"/>
      <c r="AG59" s="1835"/>
      <c r="AH59" s="1860"/>
      <c r="AI59" s="1860"/>
      <c r="AJ59" s="1860"/>
      <c r="AK59" s="1860"/>
      <c r="AL59" s="1860"/>
      <c r="AM59" s="1860"/>
      <c r="AN59" s="1860"/>
      <c r="AO59" s="308"/>
      <c r="AP59" s="1835"/>
      <c r="AQ59" s="1835"/>
      <c r="AR59" s="1860"/>
      <c r="AS59" s="1860"/>
      <c r="AT59" s="1860"/>
      <c r="AU59" s="1860"/>
      <c r="AV59" s="1860"/>
      <c r="AW59" s="1860"/>
      <c r="AX59" s="1860"/>
      <c r="AY59" s="1792"/>
      <c r="AZ59" s="1792"/>
      <c r="BA59" s="1792"/>
      <c r="BB59" s="227"/>
      <c r="BC59" s="227"/>
      <c r="BD59" s="1233" t="s">
        <v>1981</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M10655::ТЭ.73.28136693.0002::Неопределено::110.0.36.::90.0.0.::33.0.8.::147.0.5.::Неопределено::Неопределено</v>
      </c>
    </row>
    <row s="1642" customFormat="1" customHeight="1" ht="16.5">
      <c r="A60" s="1184"/>
      <c r="B60" s="925"/>
      <c r="C60" s="1299" t="s">
        <v>1661</v>
      </c>
      <c r="D60" s="1318" t="s">
        <v>1662</v>
      </c>
      <c r="E60" s="794">
        <v>17</v>
      </c>
      <c r="F60" s="736" cm="1" t="str">
        <f t="array" ref="F60:F60">OFFSET(G60,-1,-1)</f>
        <v>1</v>
      </c>
      <c r="G60" s="227"/>
      <c r="H60" s="227"/>
      <c r="I60" s="227"/>
      <c r="J60" s="227"/>
      <c r="K60" s="227"/>
      <c r="L60" s="1285"/>
      <c r="M60" s="1285" cm="1" t="str">
        <f t="array" ref="M60:M60">OFFSET(L60,-1,1)</f>
        <v>ТЭ.73.28136693.0002</v>
      </c>
      <c r="N60" s="1285" t="s">
        <v>1966</v>
      </c>
      <c r="O60" s="1285" t="s">
        <v>1738</v>
      </c>
      <c r="P60" s="1285" t="s">
        <v>1971</v>
      </c>
      <c r="Q60" s="1287" t="s">
        <v>1982</v>
      </c>
      <c r="R60" s="1287"/>
      <c r="S60" s="1285"/>
      <c r="T60" s="805">
        <f>AND(F60&gt;0,OR(ISBLANK(Y60),Y60&gt;0))</f>
        <v>1</v>
      </c>
      <c r="U60" s="1437"/>
      <c r="V60" s="1437"/>
      <c r="W60" s="1437"/>
      <c r="X60" s="1437"/>
      <c r="Y60" s="1437"/>
      <c r="Z60" s="1437"/>
      <c r="AA60" s="227"/>
      <c r="AB60" s="577" t="s">
        <v>1983</v>
      </c>
      <c r="AC60" s="578" t="s">
        <v>1984</v>
      </c>
      <c r="AD60" s="1014" t="s">
        <v>1368</v>
      </c>
      <c r="AE60" s="308"/>
      <c r="AF60" s="1835"/>
      <c r="AG60" s="1835"/>
      <c r="AH60" s="1860"/>
      <c r="AI60" s="1860"/>
      <c r="AJ60" s="1860"/>
      <c r="AK60" s="1860"/>
      <c r="AL60" s="1860"/>
      <c r="AM60" s="1860"/>
      <c r="AN60" s="1860"/>
      <c r="AO60" s="308"/>
      <c r="AP60" s="1835"/>
      <c r="AQ60" s="1835"/>
      <c r="AR60" s="1860"/>
      <c r="AS60" s="1860"/>
      <c r="AT60" s="1860"/>
      <c r="AU60" s="1860"/>
      <c r="AV60" s="1860"/>
      <c r="AW60" s="1860"/>
      <c r="AX60" s="1860"/>
      <c r="AY60" s="1792"/>
      <c r="AZ60" s="1792"/>
      <c r="BA60" s="1792"/>
      <c r="BB60" s="227"/>
      <c r="BC60" s="227"/>
      <c r="BD60" s="1233" t="s">
        <v>1985</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M10655::ТЭ.73.28136693.0002::Неопределено::110.0.36.::90.0.0.::33.0.8.::147.0.1.::Неопределено::Неопределено</v>
      </c>
    </row>
    <row s="1642" customFormat="1" customHeight="1" ht="16.5">
      <c r="A61" s="1184"/>
      <c r="B61" s="925"/>
      <c r="C61" s="1299" t="s">
        <v>1661</v>
      </c>
      <c r="D61" s="1318" t="s">
        <v>1662</v>
      </c>
      <c r="E61" s="794">
        <v>17</v>
      </c>
      <c r="F61" s="736" cm="1" t="str">
        <f t="array" ref="F61:F61">OFFSET(G61,-1,-1)</f>
        <v>1</v>
      </c>
      <c r="G61" s="227"/>
      <c r="H61" s="227"/>
      <c r="I61" s="227"/>
      <c r="J61" s="227"/>
      <c r="K61" s="227"/>
      <c r="L61" s="1285"/>
      <c r="M61" s="1285" cm="1" t="str">
        <f t="array" ref="M61:M61">OFFSET(L61,-1,1)</f>
        <v>ТЭ.73.28136693.0002</v>
      </c>
      <c r="N61" s="1285" t="s">
        <v>1966</v>
      </c>
      <c r="O61" s="1285" t="s">
        <v>1738</v>
      </c>
      <c r="P61" s="1285" t="s">
        <v>1986</v>
      </c>
      <c r="Q61" s="1287"/>
      <c r="R61" s="1287"/>
      <c r="S61" s="1285"/>
      <c r="T61" s="805">
        <f>AND(F61&gt;0,OR(ISBLANK(Y61),Y61&gt;0))</f>
        <v>1</v>
      </c>
      <c r="U61" s="1437"/>
      <c r="V61" s="1437"/>
      <c r="W61" s="1437"/>
      <c r="X61" s="1437"/>
      <c r="Y61" s="1437"/>
      <c r="Z61" s="1437"/>
      <c r="AA61" s="227"/>
      <c r="AB61" s="1118" t="s">
        <v>1123</v>
      </c>
      <c r="AC61" s="559" t="s">
        <v>1987</v>
      </c>
      <c r="AD61" s="1014" t="s">
        <v>1368</v>
      </c>
      <c r="AE61" s="308"/>
      <c r="AF61" s="1835"/>
      <c r="AG61" s="1835"/>
      <c r="AH61" s="1860"/>
      <c r="AI61" s="1860"/>
      <c r="AJ61" s="1860"/>
      <c r="AK61" s="1860"/>
      <c r="AL61" s="1860"/>
      <c r="AM61" s="1860"/>
      <c r="AN61" s="1860"/>
      <c r="AO61" s="308"/>
      <c r="AP61" s="1835"/>
      <c r="AQ61" s="1835"/>
      <c r="AR61" s="1860"/>
      <c r="AS61" s="1860"/>
      <c r="AT61" s="1860"/>
      <c r="AU61" s="1860"/>
      <c r="AV61" s="1860"/>
      <c r="AW61" s="1860"/>
      <c r="AX61" s="1860"/>
      <c r="AY61" s="1792"/>
      <c r="AZ61" s="1792"/>
      <c r="BA61" s="1792"/>
      <c r="BB61" s="227"/>
      <c r="BC61" s="227"/>
      <c r="BD61" s="1233" t="s">
        <v>1988</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M10655::ТЭ.73.28136693.0002::Неопределено::110.0.36.::90.0.0.::33.0.2.::Неопределено::Неопределено::Неопределено</v>
      </c>
    </row>
    <row s="1642" customFormat="1" customHeight="1" ht="33.75">
      <c r="A62" s="1184"/>
      <c r="B62" s="925"/>
      <c r="C62" s="1299" t="s">
        <v>1661</v>
      </c>
      <c r="D62" s="1318" t="s">
        <v>1662</v>
      </c>
      <c r="E62" s="794">
        <v>35</v>
      </c>
      <c r="F62" s="736" cm="1" t="str">
        <f t="array" ref="F62:F62">OFFSET(G62,-1,-1)</f>
        <v>1</v>
      </c>
      <c r="G62" s="227"/>
      <c r="H62" s="227"/>
      <c r="I62" s="227"/>
      <c r="J62" s="227"/>
      <c r="K62" s="227"/>
      <c r="L62" s="1285"/>
      <c r="M62" s="1285" cm="1" t="str">
        <f t="array" ref="M62:M62">OFFSET(L62,-1,1)</f>
        <v>ТЭ.73.28136693.0002</v>
      </c>
      <c r="N62" s="1285" t="s">
        <v>1966</v>
      </c>
      <c r="O62" s="1285" t="s">
        <v>1738</v>
      </c>
      <c r="P62" s="1285" t="s">
        <v>1989</v>
      </c>
      <c r="Q62" s="1287"/>
      <c r="R62" s="1287"/>
      <c r="S62" s="1285"/>
      <c r="T62" s="805">
        <f>AND(F62&gt;0,OR(ISBLANK(Y62),Y62&gt;0))</f>
        <v>1</v>
      </c>
      <c r="U62" s="1437"/>
      <c r="V62" s="1437"/>
      <c r="W62" s="1437"/>
      <c r="X62" s="1437"/>
      <c r="Y62" s="1437"/>
      <c r="Z62" s="1437"/>
      <c r="AA62" s="227"/>
      <c r="AB62" s="577" t="s">
        <v>899</v>
      </c>
      <c r="AC62" s="161" t="s">
        <v>1990</v>
      </c>
      <c r="AD62" s="1014" t="s">
        <v>1368</v>
      </c>
      <c r="AE62" s="308">
        <f>AE63+AE66+AE69</f>
        <v>0</v>
      </c>
      <c r="AF62" s="1835">
        <f>AF63+AF66+AF69</f>
        <v>0</v>
      </c>
      <c r="AG62" s="1835">
        <f>AG63+AG66+AG69</f>
        <v>0</v>
      </c>
      <c r="AH62" s="1860">
        <f>AH63+AH66+AH69</f>
        <v>0</v>
      </c>
      <c r="AI62" s="1860">
        <f>AI63+AI66+AI69</f>
        <v>0</v>
      </c>
      <c r="AJ62" s="1860">
        <f>AJ63+AJ66+AJ69</f>
        <v>0</v>
      </c>
      <c r="AK62" s="1860">
        <f>AK63+AK66+AK69</f>
        <v>0</v>
      </c>
      <c r="AL62" s="1860">
        <f>AL63+AL66+AL69</f>
        <v>0</v>
      </c>
      <c r="AM62" s="1860">
        <f>AM63+AM66+AM69</f>
        <v>0</v>
      </c>
      <c r="AN62" s="1860">
        <f>AN63+AN66+AN69</f>
        <v>0</v>
      </c>
      <c r="AO62" s="308">
        <f>AO63+AO66+AO69</f>
        <v>0</v>
      </c>
      <c r="AP62" s="1835">
        <f>AP63+AP66+AP69</f>
        <v>0</v>
      </c>
      <c r="AQ62" s="1835">
        <f>AQ63+AQ66+AQ69</f>
        <v>0</v>
      </c>
      <c r="AR62" s="1860">
        <f>AR63+AR66+AR69</f>
        <v>0</v>
      </c>
      <c r="AS62" s="1860">
        <f>AS63+AS66+AS69</f>
        <v>0</v>
      </c>
      <c r="AT62" s="1860">
        <f>AT63+AT66+AT69</f>
        <v>0</v>
      </c>
      <c r="AU62" s="1860">
        <f>AU63+AU66+AU69</f>
        <v>0</v>
      </c>
      <c r="AV62" s="1860">
        <f>AV63+AV66+AV69</f>
        <v>0</v>
      </c>
      <c r="AW62" s="1860">
        <f>AW63+AW66+AW69</f>
        <v>0</v>
      </c>
      <c r="AX62" s="1860">
        <f>AX63+AX66+AX69</f>
        <v>0</v>
      </c>
      <c r="AY62" s="1792"/>
      <c r="AZ62" s="1792"/>
      <c r="BA62" s="1792"/>
      <c r="BB62" s="227"/>
      <c r="BC62" s="227"/>
      <c r="BD62" s="1233" t="s">
        <v>1991</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M10655::ТЭ.73.28136693.0002::Неопределено::110.0.36.::90.0.0.::33.0.4.::Неопределено::Неопределено::Неопределено</v>
      </c>
    </row>
    <row s="1642" customFormat="1" customHeight="1" ht="16.5">
      <c r="A63" s="1184"/>
      <c r="B63" s="925"/>
      <c r="C63" s="1299" t="s">
        <v>1661</v>
      </c>
      <c r="D63" s="1318" t="s">
        <v>1662</v>
      </c>
      <c r="E63" s="794">
        <v>17</v>
      </c>
      <c r="F63" s="736" cm="1" t="str">
        <f t="array" ref="F63:F63">OFFSET(G63,-1,-1)</f>
        <v>1</v>
      </c>
      <c r="G63" s="227"/>
      <c r="H63" s="227"/>
      <c r="I63" s="227"/>
      <c r="J63" s="227"/>
      <c r="K63" s="227"/>
      <c r="L63" s="1339"/>
      <c r="M63" s="1285" cm="1" t="str">
        <f t="array" ref="M63:M63">OFFSET(L63,-1,1)</f>
        <v>ТЭ.73.28136693.0002</v>
      </c>
      <c r="N63" s="1285" t="s">
        <v>1966</v>
      </c>
      <c r="O63" s="1339" t="s">
        <v>1738</v>
      </c>
      <c r="P63" s="1339"/>
      <c r="Q63" s="1341"/>
      <c r="R63" s="1341" t="s">
        <v>1974</v>
      </c>
      <c r="S63" s="1339"/>
      <c r="T63" s="805">
        <f>AND(F63&gt;0,OR(ISBLANK(Y63),Y63&gt;0))</f>
        <v>1</v>
      </c>
      <c r="U63" s="1437"/>
      <c r="V63" s="1437"/>
      <c r="W63" s="1437"/>
      <c r="X63" s="1437"/>
      <c r="Y63" s="1437"/>
      <c r="Z63" s="1437"/>
      <c r="AA63" s="227"/>
      <c r="AB63" s="577" t="s">
        <v>1992</v>
      </c>
      <c r="AC63" s="559" t="s">
        <v>1976</v>
      </c>
      <c r="AD63" s="1014" t="s">
        <v>1368</v>
      </c>
      <c r="AE63" s="308">
        <f>SUM(AE64:AE65)</f>
        <v>0</v>
      </c>
      <c r="AF63" s="1835">
        <f>SUM(AF64:AF65)</f>
        <v>0</v>
      </c>
      <c r="AG63" s="1835">
        <f>SUM(AG64:AG65)</f>
        <v>0</v>
      </c>
      <c r="AH63" s="1860">
        <f>SUM(AH64:AH65)</f>
        <v>0</v>
      </c>
      <c r="AI63" s="1860">
        <f>SUM(AI64:AI65)</f>
        <v>0</v>
      </c>
      <c r="AJ63" s="1860">
        <f>SUM(AJ64:AJ65)</f>
        <v>0</v>
      </c>
      <c r="AK63" s="1860">
        <f>SUM(AK64:AK65)</f>
        <v>0</v>
      </c>
      <c r="AL63" s="1860">
        <f>SUM(AL64:AL65)</f>
        <v>0</v>
      </c>
      <c r="AM63" s="1860">
        <f>SUM(AM64:AM65)</f>
        <v>0</v>
      </c>
      <c r="AN63" s="1860">
        <f>SUM(AN64:AN65)</f>
        <v>0</v>
      </c>
      <c r="AO63" s="308">
        <f>SUM(AO64:AO65)</f>
        <v>0</v>
      </c>
      <c r="AP63" s="1835">
        <f>SUM(AP64:AP65)</f>
        <v>0</v>
      </c>
      <c r="AQ63" s="1835">
        <f>SUM(AQ64:AQ65)</f>
        <v>0</v>
      </c>
      <c r="AR63" s="1860">
        <f>SUM(AR64:AR65)</f>
        <v>0</v>
      </c>
      <c r="AS63" s="1860">
        <f>SUM(AS64:AS65)</f>
        <v>0</v>
      </c>
      <c r="AT63" s="1860">
        <f>SUM(AT64:AT65)</f>
        <v>0</v>
      </c>
      <c r="AU63" s="1860">
        <f>SUM(AU64:AU65)</f>
        <v>0</v>
      </c>
      <c r="AV63" s="1860">
        <f>SUM(AV64:AV65)</f>
        <v>0</v>
      </c>
      <c r="AW63" s="1860">
        <f>SUM(AW64:AW65)</f>
        <v>0</v>
      </c>
      <c r="AX63" s="1860">
        <f>SUM(AX64:AX65)</f>
        <v>0</v>
      </c>
      <c r="AY63" s="1792"/>
      <c r="AZ63" s="1792"/>
      <c r="BA63" s="1792"/>
      <c r="BB63" s="227"/>
      <c r="BC63" s="227"/>
      <c r="BD63" s="1233" t="s">
        <v>1993</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M10655::ТЭ.73.28136693.0002::Неопределено::110.0.36.::90.0.0.::Неопределено::Неопределено::22.0.10.::Неопределено</v>
      </c>
    </row>
    <row s="1642" customFormat="1" customHeight="1" ht="16.5" hidden="1">
      <c r="A64" s="1184"/>
      <c r="B64" s="925"/>
      <c r="C64" s="1299" t="s">
        <v>1661</v>
      </c>
      <c r="D64" s="1318" t="s">
        <v>1662</v>
      </c>
      <c r="E64" s="794">
        <v>17</v>
      </c>
      <c r="F64" s="736" cm="1" t="str">
        <f t="array" ref="F64:F64">OFFSET(G64,-1,-1)</f>
        <v>1</v>
      </c>
      <c r="G64" s="227"/>
      <c r="H64" s="227"/>
      <c r="I64" s="227"/>
      <c r="J64" s="227"/>
      <c r="K64" s="227"/>
      <c r="L64" s="1285" cm="1" t="str">
        <f t="array" ref="L64:L64">AC64</f>
        <v>0</v>
      </c>
      <c r="M64" s="1285" cm="1" t="str">
        <f t="array" ref="M64:M64">OFFSET(L64,-1,1)</f>
        <v>ТЭ.73.28136693.0002</v>
      </c>
      <c r="N64" s="1285"/>
      <c r="O64" s="1285"/>
      <c r="P64" s="1285"/>
      <c r="Q64" s="1287"/>
      <c r="R64" s="1287" t="s">
        <v>1974</v>
      </c>
      <c r="S64" s="1285"/>
      <c r="T64" s="805">
        <f>AND(F64&gt;0,OR(ISBLANK(Y64),Y64&gt;0))</f>
        <v>0</v>
      </c>
      <c r="U64" s="1437"/>
      <c r="V64" s="1437"/>
      <c r="W64" s="172" t="s">
        <v>235</v>
      </c>
      <c r="X64" s="1437"/>
      <c r="Y64" s="172">
        <v>0</v>
      </c>
      <c r="Z64" s="1437"/>
      <c r="AA64" s="915" t="s">
        <v>219</v>
      </c>
      <c r="AB64" s="577" t="str">
        <f>"1.2.1."&amp;Y64</f>
        <v>1.2.1.0</v>
      </c>
      <c r="AC64" s="145"/>
      <c r="AD64" s="1014" t="s">
        <v>1368</v>
      </c>
      <c r="AE64" s="308"/>
      <c r="AF64" s="1835"/>
      <c r="AG64" s="1835"/>
      <c r="AH64" s="99"/>
      <c r="AI64" s="99"/>
      <c r="AJ64" s="99"/>
      <c r="AK64" s="99"/>
      <c r="AL64" s="99"/>
      <c r="AM64" s="99"/>
      <c r="AN64" s="99"/>
      <c r="AO64" s="308"/>
      <c r="AP64" s="1835"/>
      <c r="AQ64" s="1835"/>
      <c r="AR64" s="99"/>
      <c r="AS64" s="99"/>
      <c r="AT64" s="99"/>
      <c r="AU64" s="99"/>
      <c r="AV64" s="99"/>
      <c r="AW64" s="99"/>
      <c r="AX64" s="99"/>
      <c r="AY64" s="74"/>
      <c r="AZ64" s="74"/>
      <c r="BA64" s="74"/>
      <c r="BB64" s="227"/>
      <c r="BC64" s="227"/>
      <c r="BD64" s="1233" t="s">
        <v>1993</v>
      </c>
      <c r="BE64" s="1233" t="s">
        <v>1994</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M10655::ТЭ.73.28136693.0002::0::Неопределено::Неопределено::Неопределено::Неопределено::22.0.10.::Неопределено</v>
      </c>
    </row>
    <row s="1642"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ТЭ.73.28136693.0002</v>
      </c>
      <c r="N65" s="1269"/>
      <c r="O65" s="1269"/>
      <c r="P65" s="1269"/>
      <c r="Q65" s="1277"/>
      <c r="R65" s="1277"/>
      <c r="S65" s="1269"/>
      <c r="T65" s="805">
        <f>AND(F65&gt;0,OR(ISBLANK(Y65),Y65&gt;0))</f>
        <v>1</v>
      </c>
      <c r="U65" s="1437"/>
      <c r="V65" s="1437"/>
      <c r="W65" s="1017" t="s">
        <v>915</v>
      </c>
      <c r="X65" s="1437"/>
      <c r="Y65" s="1437"/>
      <c r="Z65" s="1437"/>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1994</v>
      </c>
      <c r="BH65" s="1234"/>
      <c r="BI65" s="1331"/>
    </row>
    <row s="1642" customFormat="1" customHeight="1" ht="33.75">
      <c r="A66" s="1184"/>
      <c r="B66" s="925"/>
      <c r="C66" s="1299" t="s">
        <v>1661</v>
      </c>
      <c r="D66" s="1318" t="s">
        <v>1662</v>
      </c>
      <c r="E66" s="794">
        <v>35</v>
      </c>
      <c r="F66" s="736" cm="1" t="str">
        <f t="array" ref="F66:F66">OFFSET(G66,-1,-1)</f>
        <v>1</v>
      </c>
      <c r="G66" s="227"/>
      <c r="H66" s="227"/>
      <c r="I66" s="227"/>
      <c r="J66" s="227"/>
      <c r="K66" s="227"/>
      <c r="L66" s="1285"/>
      <c r="M66" s="1285" cm="1" t="str">
        <f t="array" ref="M66:M66">OFFSET(L66,-1,1)</f>
        <v>ТЭ.73.28136693.0002</v>
      </c>
      <c r="N66" s="1285"/>
      <c r="O66" s="1285"/>
      <c r="P66" s="1285"/>
      <c r="Q66" s="1287" t="s">
        <v>1978</v>
      </c>
      <c r="R66" s="1287"/>
      <c r="S66" s="1285"/>
      <c r="T66" s="805">
        <f>AND(F66&gt;0,OR(ISBLANK(Y66),Y66&gt;0))</f>
        <v>1</v>
      </c>
      <c r="U66" s="1437"/>
      <c r="V66" s="1437"/>
      <c r="W66" s="1437"/>
      <c r="X66" s="1437"/>
      <c r="Y66" s="1437"/>
      <c r="Z66" s="1437"/>
      <c r="AA66" s="227"/>
      <c r="AB66" s="577" t="s">
        <v>1995</v>
      </c>
      <c r="AC66" s="559" t="s">
        <v>1980</v>
      </c>
      <c r="AD66" s="1014" t="s">
        <v>1368</v>
      </c>
      <c r="AE66" s="308">
        <f>SUM(AE67:AE68)</f>
        <v>0</v>
      </c>
      <c r="AF66" s="1835">
        <f>SUM(AF67:AF68)</f>
        <v>0</v>
      </c>
      <c r="AG66" s="1835">
        <f>SUM(AG67:AG68)</f>
        <v>0</v>
      </c>
      <c r="AH66" s="1860">
        <f>SUM(AH67:AH68)</f>
        <v>0</v>
      </c>
      <c r="AI66" s="1860">
        <f>SUM(AI67:AI68)</f>
        <v>0</v>
      </c>
      <c r="AJ66" s="1860">
        <f>SUM(AJ67:AJ68)</f>
        <v>0</v>
      </c>
      <c r="AK66" s="1860">
        <f>SUM(AK67:AK68)</f>
        <v>0</v>
      </c>
      <c r="AL66" s="1860">
        <f>SUM(AL67:AL68)</f>
        <v>0</v>
      </c>
      <c r="AM66" s="1860">
        <f>SUM(AM67:AM68)</f>
        <v>0</v>
      </c>
      <c r="AN66" s="1860">
        <f>SUM(AN67:AN68)</f>
        <v>0</v>
      </c>
      <c r="AO66" s="308">
        <f>SUM(AO67:AO68)</f>
        <v>0</v>
      </c>
      <c r="AP66" s="1835">
        <f>SUM(AP67:AP68)</f>
        <v>0</v>
      </c>
      <c r="AQ66" s="1835">
        <f>SUM(AQ67:AQ68)</f>
        <v>0</v>
      </c>
      <c r="AR66" s="1860">
        <f>SUM(AR67:AR68)</f>
        <v>0</v>
      </c>
      <c r="AS66" s="1860">
        <f>SUM(AS67:AS68)</f>
        <v>0</v>
      </c>
      <c r="AT66" s="1860">
        <f>SUM(AT67:AT68)</f>
        <v>0</v>
      </c>
      <c r="AU66" s="1860">
        <f>SUM(AU67:AU68)</f>
        <v>0</v>
      </c>
      <c r="AV66" s="1860">
        <f>SUM(AV67:AV68)</f>
        <v>0</v>
      </c>
      <c r="AW66" s="1860">
        <f>SUM(AW67:AW68)</f>
        <v>0</v>
      </c>
      <c r="AX66" s="1860">
        <f>SUM(AX67:AX68)</f>
        <v>0</v>
      </c>
      <c r="AY66" s="1792"/>
      <c r="AZ66" s="1792"/>
      <c r="BA66" s="1792"/>
      <c r="BB66" s="227"/>
      <c r="BC66" s="227"/>
      <c r="BD66" s="1233" t="s">
        <v>1996</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M10655::ТЭ.73.28136693.0002::Неопределено::Неопределено::Неопределено::Неопределено::147.0.5.::Неопределено::Неопределено</v>
      </c>
    </row>
    <row s="1642" customFormat="1" customHeight="1" ht="16.5" hidden="1">
      <c r="A67" s="1184"/>
      <c r="B67" s="925"/>
      <c r="C67" s="1299" t="s">
        <v>1661</v>
      </c>
      <c r="D67" s="1318" t="s">
        <v>1662</v>
      </c>
      <c r="E67" s="794">
        <v>17</v>
      </c>
      <c r="F67" s="736" cm="1" t="str">
        <f t="array" ref="F67:F67">OFFSET(G67,-1,-1)</f>
        <v>1</v>
      </c>
      <c r="G67" s="227"/>
      <c r="H67" s="227"/>
      <c r="I67" s="227"/>
      <c r="J67" s="227"/>
      <c r="K67" s="227"/>
      <c r="L67" s="1285" cm="1" t="str">
        <f t="array" ref="L67:L67">AC67</f>
        <v>0</v>
      </c>
      <c r="M67" s="1285" cm="1" t="str">
        <f t="array" ref="M67:M67">OFFSET(L67,-1,1)</f>
        <v>ТЭ.73.28136693.0002</v>
      </c>
      <c r="N67" s="1285"/>
      <c r="O67" s="1285"/>
      <c r="P67" s="1285"/>
      <c r="Q67" s="1287" t="s">
        <v>1978</v>
      </c>
      <c r="R67" s="1287"/>
      <c r="S67" s="1285"/>
      <c r="T67" s="805">
        <f>AND(F67&gt;0,OR(ISBLANK(Y67),Y67&gt;0))</f>
        <v>0</v>
      </c>
      <c r="U67" s="1437"/>
      <c r="V67" s="1437"/>
      <c r="W67" s="172" t="s">
        <v>235</v>
      </c>
      <c r="X67" s="1437"/>
      <c r="Y67" s="172">
        <v>0</v>
      </c>
      <c r="Z67" s="1437"/>
      <c r="AA67" s="915" t="s">
        <v>219</v>
      </c>
      <c r="AB67" s="577" t="str">
        <f>"1.2.2."&amp;Y67</f>
        <v>1.2.2.0</v>
      </c>
      <c r="AC67" s="145"/>
      <c r="AD67" s="1014" t="s">
        <v>1368</v>
      </c>
      <c r="AE67" s="308"/>
      <c r="AF67" s="1835"/>
      <c r="AG67" s="1835"/>
      <c r="AH67" s="99"/>
      <c r="AI67" s="99"/>
      <c r="AJ67" s="99"/>
      <c r="AK67" s="99"/>
      <c r="AL67" s="99"/>
      <c r="AM67" s="99"/>
      <c r="AN67" s="99"/>
      <c r="AO67" s="308"/>
      <c r="AP67" s="1835"/>
      <c r="AQ67" s="1835"/>
      <c r="AR67" s="99"/>
      <c r="AS67" s="99"/>
      <c r="AT67" s="99"/>
      <c r="AU67" s="99"/>
      <c r="AV67" s="99"/>
      <c r="AW67" s="99"/>
      <c r="AX67" s="99"/>
      <c r="AY67" s="74"/>
      <c r="AZ67" s="74"/>
      <c r="BA67" s="74"/>
      <c r="BB67" s="227"/>
      <c r="BC67" s="227"/>
      <c r="BD67" s="1233" t="s">
        <v>1996</v>
      </c>
      <c r="BE67" s="1233" t="s">
        <v>1997</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M10655::ТЭ.73.28136693.0002::0::Неопределено::Неопределено::Неопределено::147.0.5.::Неопределено::Неопределено</v>
      </c>
    </row>
    <row s="1642"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ТЭ.73.28136693.0002</v>
      </c>
      <c r="N68" s="1269"/>
      <c r="O68" s="1269"/>
      <c r="P68" s="1269"/>
      <c r="Q68" s="1277"/>
      <c r="R68" s="1277"/>
      <c r="S68" s="1269"/>
      <c r="T68" s="805">
        <f>AND(F68&gt;0,OR(ISBLANK(Y68),Y68&gt;0))</f>
        <v>1</v>
      </c>
      <c r="U68" s="1437"/>
      <c r="V68" s="1437"/>
      <c r="W68" s="1017" t="s">
        <v>926</v>
      </c>
      <c r="X68" s="1437"/>
      <c r="Y68" s="1437"/>
      <c r="Z68" s="1437"/>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1997</v>
      </c>
      <c r="BH68" s="1234"/>
      <c r="BI68" s="1331"/>
    </row>
    <row s="1642" customFormat="1" customHeight="1" ht="16.5">
      <c r="A69" s="1184"/>
      <c r="B69" s="925"/>
      <c r="C69" s="1299" t="s">
        <v>1661</v>
      </c>
      <c r="D69" s="1318" t="s">
        <v>1662</v>
      </c>
      <c r="E69" s="794">
        <v>17</v>
      </c>
      <c r="F69" s="736" cm="1" t="str">
        <f t="array" ref="F69:F69">OFFSET(G69,-1,-1)</f>
        <v>1</v>
      </c>
      <c r="G69" s="227"/>
      <c r="H69" s="227"/>
      <c r="I69" s="227"/>
      <c r="J69" s="227"/>
      <c r="K69" s="227"/>
      <c r="L69" s="1285"/>
      <c r="M69" s="1285" cm="1" t="str">
        <f t="array" ref="M69:M69">OFFSET(L69,-1,1)</f>
        <v>ТЭ.73.28136693.0002</v>
      </c>
      <c r="N69" s="1285"/>
      <c r="O69" s="1285"/>
      <c r="P69" s="1285"/>
      <c r="Q69" s="1287" t="s">
        <v>1982</v>
      </c>
      <c r="R69" s="1287"/>
      <c r="S69" s="1285"/>
      <c r="T69" s="805">
        <f>AND(F69&gt;0,OR(ISBLANK(Y69),Y69&gt;0))</f>
        <v>1</v>
      </c>
      <c r="U69" s="1437"/>
      <c r="V69" s="1437"/>
      <c r="W69" s="1437"/>
      <c r="X69" s="1437"/>
      <c r="Y69" s="1437"/>
      <c r="Z69" s="1437"/>
      <c r="AA69" s="227"/>
      <c r="AB69" s="1119" t="s">
        <v>1998</v>
      </c>
      <c r="AC69" s="559" t="s">
        <v>1984</v>
      </c>
      <c r="AD69" s="1014" t="s">
        <v>1368</v>
      </c>
      <c r="AE69" s="308">
        <f>SUM(AE70:AE71)</f>
        <v>0</v>
      </c>
      <c r="AF69" s="1835">
        <f>SUM(AF70:AF71)</f>
        <v>0</v>
      </c>
      <c r="AG69" s="1835">
        <f>SUM(AG70:AG71)</f>
        <v>0</v>
      </c>
      <c r="AH69" s="1860">
        <f>SUM(AH70:AH71)</f>
        <v>0</v>
      </c>
      <c r="AI69" s="1860">
        <f>SUM(AI70:AI71)</f>
        <v>0</v>
      </c>
      <c r="AJ69" s="1860">
        <f>SUM(AJ70:AJ71)</f>
        <v>0</v>
      </c>
      <c r="AK69" s="1860">
        <f>SUM(AK70:AK71)</f>
        <v>0</v>
      </c>
      <c r="AL69" s="1860">
        <f>SUM(AL70:AL71)</f>
        <v>0</v>
      </c>
      <c r="AM69" s="1860">
        <f>SUM(AM70:AM71)</f>
        <v>0</v>
      </c>
      <c r="AN69" s="1860">
        <f>SUM(AN70:AN71)</f>
        <v>0</v>
      </c>
      <c r="AO69" s="308">
        <f>SUM(AO70:AO71)</f>
        <v>0</v>
      </c>
      <c r="AP69" s="1835">
        <f>SUM(AP70:AP71)</f>
        <v>0</v>
      </c>
      <c r="AQ69" s="1835">
        <f>SUM(AQ70:AQ71)</f>
        <v>0</v>
      </c>
      <c r="AR69" s="1860">
        <f>SUM(AR70:AR71)</f>
        <v>0</v>
      </c>
      <c r="AS69" s="1860">
        <f>SUM(AS70:AS71)</f>
        <v>0</v>
      </c>
      <c r="AT69" s="1860">
        <f>SUM(AT70:AT71)</f>
        <v>0</v>
      </c>
      <c r="AU69" s="1860">
        <f>SUM(AU70:AU71)</f>
        <v>0</v>
      </c>
      <c r="AV69" s="1860">
        <f>SUM(AV70:AV71)</f>
        <v>0</v>
      </c>
      <c r="AW69" s="1860">
        <f>SUM(AW70:AW71)</f>
        <v>0</v>
      </c>
      <c r="AX69" s="1860">
        <f>SUM(AX70:AX71)</f>
        <v>0</v>
      </c>
      <c r="AY69" s="1792"/>
      <c r="AZ69" s="1792"/>
      <c r="BA69" s="1792"/>
      <c r="BB69" s="227"/>
      <c r="BC69" s="227"/>
      <c r="BD69" s="1233" t="s">
        <v>1999</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M10655::ТЭ.73.28136693.0002::Неопределено::Неопределено::Неопределено::Неопределено::147.0.1.::Неопределено::Неопределено</v>
      </c>
    </row>
    <row s="1642" customFormat="1" customHeight="1" ht="16.5" hidden="1">
      <c r="A70" s="1184"/>
      <c r="B70" s="925"/>
      <c r="C70" s="1299" t="s">
        <v>1661</v>
      </c>
      <c r="D70" s="1318" t="s">
        <v>1662</v>
      </c>
      <c r="E70" s="794">
        <v>17</v>
      </c>
      <c r="F70" s="736" cm="1" t="str">
        <f t="array" ref="F70:F70">OFFSET(G70,-1,-1)</f>
        <v>1</v>
      </c>
      <c r="G70" s="227"/>
      <c r="H70" s="227"/>
      <c r="I70" s="227"/>
      <c r="J70" s="227"/>
      <c r="K70" s="227"/>
      <c r="L70" s="1285" cm="1" t="str">
        <f t="array" ref="L70:L70">AC70</f>
        <v>0</v>
      </c>
      <c r="M70" s="1285" cm="1" t="str">
        <f t="array" ref="M70:M70">OFFSET(L70,-1,1)</f>
        <v>ТЭ.73.28136693.0002</v>
      </c>
      <c r="N70" s="1285"/>
      <c r="O70" s="1285"/>
      <c r="P70" s="1285"/>
      <c r="Q70" s="1287" t="s">
        <v>1982</v>
      </c>
      <c r="R70" s="1287"/>
      <c r="S70" s="1285"/>
      <c r="T70" s="805">
        <f>AND(F70&gt;0,OR(ISBLANK(Y70),Y70&gt;0))</f>
        <v>0</v>
      </c>
      <c r="U70" s="1437"/>
      <c r="V70" s="1437"/>
      <c r="W70" s="172" t="s">
        <v>235</v>
      </c>
      <c r="X70" s="1437"/>
      <c r="Y70" s="172">
        <v>0</v>
      </c>
      <c r="Z70" s="1437"/>
      <c r="AA70" s="915" t="s">
        <v>219</v>
      </c>
      <c r="AB70" s="577" t="str">
        <f>"1.2.3."&amp;Y70</f>
        <v>1.2.3.0</v>
      </c>
      <c r="AC70" s="145"/>
      <c r="AD70" s="1014" t="s">
        <v>1368</v>
      </c>
      <c r="AE70" s="308"/>
      <c r="AF70" s="1835"/>
      <c r="AG70" s="1835"/>
      <c r="AH70" s="99"/>
      <c r="AI70" s="99"/>
      <c r="AJ70" s="99"/>
      <c r="AK70" s="99"/>
      <c r="AL70" s="99"/>
      <c r="AM70" s="99"/>
      <c r="AN70" s="99"/>
      <c r="AO70" s="308"/>
      <c r="AP70" s="1835"/>
      <c r="AQ70" s="1835"/>
      <c r="AR70" s="99"/>
      <c r="AS70" s="99"/>
      <c r="AT70" s="99"/>
      <c r="AU70" s="99"/>
      <c r="AV70" s="99"/>
      <c r="AW70" s="99"/>
      <c r="AX70" s="99"/>
      <c r="AY70" s="74"/>
      <c r="AZ70" s="74"/>
      <c r="BA70" s="74"/>
      <c r="BB70" s="227"/>
      <c r="BC70" s="227"/>
      <c r="BD70" s="1233" t="s">
        <v>1999</v>
      </c>
      <c r="BE70" s="1233" t="s">
        <v>2000</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M10655::ТЭ.73.28136693.0002::0::Неопределено::Неопределено::Неопределено::147.0.1.::Неопределено::Неопределено</v>
      </c>
    </row>
    <row s="1642"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ТЭ.73.28136693.0002</v>
      </c>
      <c r="N71" s="1269"/>
      <c r="O71" s="1269"/>
      <c r="P71" s="1269"/>
      <c r="Q71" s="1277"/>
      <c r="R71" s="1277"/>
      <c r="S71" s="1269"/>
      <c r="T71" s="805">
        <f>AND(F71&gt;0,OR(ISBLANK(Y71),Y71&gt;0))</f>
        <v>1</v>
      </c>
      <c r="U71" s="1437"/>
      <c r="V71" s="1437"/>
      <c r="W71" s="1017" t="s">
        <v>1166</v>
      </c>
      <c r="X71" s="1437"/>
      <c r="Y71" s="1437"/>
      <c r="Z71" s="1437"/>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2000</v>
      </c>
      <c r="BH71" s="1234"/>
      <c r="BI71" s="1331"/>
    </row>
    <row s="1642" customFormat="1" customHeight="1" ht="16.5">
      <c r="A72" s="1184"/>
      <c r="B72" s="925"/>
      <c r="C72" s="1299" t="s">
        <v>1661</v>
      </c>
      <c r="D72" s="1318" t="s">
        <v>1662</v>
      </c>
      <c r="E72" s="794">
        <v>17</v>
      </c>
      <c r="F72" s="736" cm="1" t="str">
        <f t="array" ref="F72:F72">OFFSET(G72,-1,-1)</f>
        <v>1</v>
      </c>
      <c r="G72" s="227"/>
      <c r="H72" s="227"/>
      <c r="I72" s="227"/>
      <c r="J72" s="227"/>
      <c r="K72" s="227"/>
      <c r="L72" s="1285"/>
      <c r="M72" s="1285" cm="1" t="str">
        <f t="array" ref="M72:M72">OFFSET(L72,-1,1)</f>
        <v>ТЭ.73.28136693.0002</v>
      </c>
      <c r="N72" s="1285" t="s">
        <v>2001</v>
      </c>
      <c r="O72" s="1285"/>
      <c r="P72" s="1285"/>
      <c r="Q72" s="1287"/>
      <c r="R72" s="1287"/>
      <c r="S72" s="1285"/>
      <c r="T72" s="805">
        <f>AND(F72&gt;0,OR(ISBLANK(Y72),Y72&gt;0))</f>
        <v>1</v>
      </c>
      <c r="U72" s="1437"/>
      <c r="V72" s="1437"/>
      <c r="W72" s="1437"/>
      <c r="X72" s="1437"/>
      <c r="Y72" s="1437"/>
      <c r="Z72" s="1437"/>
      <c r="AA72" s="227"/>
      <c r="AB72" s="1119" t="s">
        <v>901</v>
      </c>
      <c r="AC72" s="161" t="s">
        <v>2002</v>
      </c>
      <c r="AD72" s="1014" t="s">
        <v>1368</v>
      </c>
      <c r="AE72" s="308"/>
      <c r="AF72" s="1835"/>
      <c r="AG72" s="1835"/>
      <c r="AH72" s="1860"/>
      <c r="AI72" s="1860"/>
      <c r="AJ72" s="1860"/>
      <c r="AK72" s="1860"/>
      <c r="AL72" s="1860"/>
      <c r="AM72" s="1860"/>
      <c r="AN72" s="1860"/>
      <c r="AO72" s="308"/>
      <c r="AP72" s="1835"/>
      <c r="AQ72" s="1835"/>
      <c r="AR72" s="1860"/>
      <c r="AS72" s="1860"/>
      <c r="AT72" s="1860"/>
      <c r="AU72" s="1860"/>
      <c r="AV72" s="1860"/>
      <c r="AW72" s="1860"/>
      <c r="AX72" s="1860"/>
      <c r="AY72" s="1792"/>
      <c r="AZ72" s="1792"/>
      <c r="BA72" s="1792"/>
      <c r="BB72" s="227"/>
      <c r="BC72" s="227"/>
      <c r="BD72" s="1233" t="s">
        <v>1356</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M10655::ТЭ.73.28136693.0002::Неопределено::110.0.3.::Неопределено::Неопределено::Неопределено::Неопределено::Неопределено</v>
      </c>
    </row>
    <row s="1642"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ТЭ.73.28136693.0002</v>
      </c>
      <c r="N73" s="1340"/>
      <c r="O73" s="1340"/>
      <c r="P73" s="1340"/>
      <c r="Q73" s="1342"/>
      <c r="R73" s="1342"/>
      <c r="S73" s="1340"/>
      <c r="T73" s="805">
        <f>AND(F73&gt;0,OR(ISBLANK(Y73),Y73&gt;0))</f>
        <v>1</v>
      </c>
      <c r="U73" s="1437"/>
      <c r="V73" s="1437"/>
      <c r="W73" s="1437"/>
      <c r="X73" s="1437"/>
      <c r="Y73" s="1437"/>
      <c r="Z73" s="1437"/>
      <c r="AA73" s="227"/>
      <c r="AB73" s="577" t="s">
        <v>440</v>
      </c>
      <c r="AC73" s="320" t="s">
        <v>2003</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42" customFormat="1" customHeight="1" ht="16.5">
      <c r="A74" s="1184"/>
      <c r="B74" s="925"/>
      <c r="C74" s="1299" t="s">
        <v>1689</v>
      </c>
      <c r="D74" s="1318" t="s">
        <v>1690</v>
      </c>
      <c r="E74" s="794">
        <v>17</v>
      </c>
      <c r="F74" s="736" cm="1" t="str">
        <f t="array" ref="F74:F74">OFFSET(G74,-1,-1)</f>
        <v>1</v>
      </c>
      <c r="G74" s="190" t="s">
        <v>1691</v>
      </c>
      <c r="H74" s="227"/>
      <c r="I74" s="227"/>
      <c r="J74" s="227"/>
      <c r="K74" s="227"/>
      <c r="L74" s="1285"/>
      <c r="M74" s="1285" cm="1" t="str">
        <f t="array" ref="M74:M74">OFFSET(L74,-1,1)</f>
        <v>ТЭ.73.28136693.0002</v>
      </c>
      <c r="N74" s="1285"/>
      <c r="O74" s="1285"/>
      <c r="P74" s="1285"/>
      <c r="Q74" s="1287"/>
      <c r="R74" s="1287"/>
      <c r="S74" s="1287" t="s">
        <v>1692</v>
      </c>
      <c r="T74" s="805">
        <f>AND(F74&gt;0,OR(ISBLANK(Y74),Y74&gt;0))</f>
        <v>1</v>
      </c>
      <c r="U74" s="1437"/>
      <c r="V74" s="1437"/>
      <c r="W74" s="1437"/>
      <c r="X74" s="1437"/>
      <c r="Y74" s="1437"/>
      <c r="Z74" s="1437"/>
      <c r="AA74" s="227"/>
      <c r="AB74" s="170" t="s">
        <v>443</v>
      </c>
      <c r="AC74" s="286" t="s">
        <v>1693</v>
      </c>
      <c r="AD74" s="555" t="s">
        <v>586</v>
      </c>
      <c r="AE74" s="308"/>
      <c r="AF74" s="1835"/>
      <c r="AG74" s="1835"/>
      <c r="AH74" s="1860"/>
      <c r="AI74" s="1860"/>
      <c r="AJ74" s="1860"/>
      <c r="AK74" s="1860"/>
      <c r="AL74" s="1860"/>
      <c r="AM74" s="1860"/>
      <c r="AN74" s="1860"/>
      <c r="AO74" s="308"/>
      <c r="AP74" s="1835"/>
      <c r="AQ74" s="1835"/>
      <c r="AR74" s="1860"/>
      <c r="AS74" s="1860"/>
      <c r="AT74" s="1860"/>
      <c r="AU74" s="1860"/>
      <c r="AV74" s="1860"/>
      <c r="AW74" s="1860"/>
      <c r="AX74" s="1860"/>
      <c r="AY74" s="1792"/>
      <c r="AZ74" s="1792"/>
      <c r="BA74" s="1792"/>
      <c r="BB74" s="227"/>
      <c r="BC74" s="227"/>
      <c r="BD74" s="1233" t="s">
        <v>2004</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M10670::ТЭ.73.28136693.0002::Неопределено::Неопределено::Неопределено::Неопределено::Неопределено::Неопределено::8.0.3.</v>
      </c>
    </row>
    <row s="1642" customFormat="1" customHeight="1" ht="16.5">
      <c r="A75" s="1184"/>
      <c r="B75" s="925"/>
      <c r="C75" s="1299" t="s">
        <v>1695</v>
      </c>
      <c r="D75" s="1318" t="s">
        <v>1696</v>
      </c>
      <c r="E75" s="794">
        <v>17</v>
      </c>
      <c r="F75" s="736" cm="1" t="str">
        <f t="array" ref="F75:F75">OFFSET(G75,-1,-1)</f>
        <v>1</v>
      </c>
      <c r="G75" s="736" t="s">
        <v>1697</v>
      </c>
      <c r="H75" s="227"/>
      <c r="I75" s="227"/>
      <c r="J75" s="227"/>
      <c r="K75" s="227"/>
      <c r="L75" s="1285"/>
      <c r="M75" s="1285" cm="1" t="str">
        <f t="array" ref="M75:M75">OFFSET(L75,-1,1)</f>
        <v>ТЭ.73.28136693.0002</v>
      </c>
      <c r="N75" s="1285"/>
      <c r="O75" s="1285"/>
      <c r="P75" s="1285"/>
      <c r="Q75" s="1287"/>
      <c r="R75" s="1287"/>
      <c r="S75" s="1287" t="s">
        <v>1692</v>
      </c>
      <c r="T75" s="805">
        <f>AND(F75&gt;0,OR(ISBLANK(Y75),Y75&gt;0))</f>
        <v>1</v>
      </c>
      <c r="U75" s="1437"/>
      <c r="V75" s="1437"/>
      <c r="W75" s="1437"/>
      <c r="X75" s="1437"/>
      <c r="Y75" s="1437"/>
      <c r="Z75" s="1437"/>
      <c r="AA75" s="227"/>
      <c r="AB75" s="170" t="s">
        <v>470</v>
      </c>
      <c r="AC75" s="286" t="s">
        <v>1698</v>
      </c>
      <c r="AD75" s="555" t="s">
        <v>889</v>
      </c>
      <c r="AE75" s="308"/>
      <c r="AF75" s="1835"/>
      <c r="AG75" s="1835"/>
      <c r="AH75" s="1860"/>
      <c r="AI75" s="1860"/>
      <c r="AJ75" s="1860"/>
      <c r="AK75" s="1860"/>
      <c r="AL75" s="1860"/>
      <c r="AM75" s="1860"/>
      <c r="AN75" s="1860"/>
      <c r="AO75" s="308"/>
      <c r="AP75" s="1835"/>
      <c r="AQ75" s="1835"/>
      <c r="AR75" s="1860"/>
      <c r="AS75" s="1860"/>
      <c r="AT75" s="1860"/>
      <c r="AU75" s="1860"/>
      <c r="AV75" s="1860"/>
      <c r="AW75" s="1860"/>
      <c r="AX75" s="1860"/>
      <c r="AY75" s="1792"/>
      <c r="AZ75" s="1792"/>
      <c r="BA75" s="1792"/>
      <c r="BB75" s="227"/>
      <c r="BC75" s="227"/>
      <c r="BD75" s="1233" t="s">
        <v>2005</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M10546::ТЭ.73.28136693.0002::Неопределено::Неопределено::Неопределено::Неопределено::Неопределено::Неопределено::8.0.3.</v>
      </c>
    </row>
    <row s="1642" customFormat="1" customHeight="1" ht="16.5">
      <c r="A76" s="1184"/>
      <c r="B76" s="925"/>
      <c r="C76" s="1299" t="s">
        <v>1689</v>
      </c>
      <c r="D76" s="1318" t="s">
        <v>1690</v>
      </c>
      <c r="E76" s="794">
        <v>17</v>
      </c>
      <c r="F76" s="736" cm="1" t="str">
        <f t="array" ref="F76:F76">OFFSET(G76,-1,-1)</f>
        <v>1</v>
      </c>
      <c r="G76" s="190" t="s">
        <v>1700</v>
      </c>
      <c r="H76" s="227"/>
      <c r="I76" s="227"/>
      <c r="J76" s="227"/>
      <c r="K76" s="227"/>
      <c r="L76" s="1285"/>
      <c r="M76" s="1285" cm="1" t="str">
        <f t="array" ref="M76:M76">OFFSET(L76,-1,1)</f>
        <v>ТЭ.73.28136693.0002</v>
      </c>
      <c r="N76" s="1285"/>
      <c r="O76" s="1285"/>
      <c r="P76" s="1285"/>
      <c r="Q76" s="1287"/>
      <c r="R76" s="1287"/>
      <c r="S76" s="1287" t="s">
        <v>1701</v>
      </c>
      <c r="T76" s="805">
        <f>AND(F76&gt;0,OR(ISBLANK(Y76),Y76&gt;0))</f>
        <v>1</v>
      </c>
      <c r="U76" s="1437"/>
      <c r="V76" s="1437"/>
      <c r="W76" s="1437"/>
      <c r="X76" s="1437"/>
      <c r="Y76" s="1437"/>
      <c r="Z76" s="1437"/>
      <c r="AA76" s="227"/>
      <c r="AB76" s="170" t="s">
        <v>474</v>
      </c>
      <c r="AC76" s="286" t="s">
        <v>1702</v>
      </c>
      <c r="AD76" s="309" t="s">
        <v>586</v>
      </c>
      <c r="AE76" s="308"/>
      <c r="AF76" s="1835"/>
      <c r="AG76" s="1835"/>
      <c r="AH76" s="1860"/>
      <c r="AI76" s="1860"/>
      <c r="AJ76" s="1860"/>
      <c r="AK76" s="1860"/>
      <c r="AL76" s="1860"/>
      <c r="AM76" s="1860"/>
      <c r="AN76" s="1860"/>
      <c r="AO76" s="308"/>
      <c r="AP76" s="1835"/>
      <c r="AQ76" s="1835"/>
      <c r="AR76" s="1860"/>
      <c r="AS76" s="1860"/>
      <c r="AT76" s="1860"/>
      <c r="AU76" s="1860"/>
      <c r="AV76" s="1860"/>
      <c r="AW76" s="1860"/>
      <c r="AX76" s="1860"/>
      <c r="AY76" s="1792"/>
      <c r="AZ76" s="1792"/>
      <c r="BA76" s="1792"/>
      <c r="BB76" s="227"/>
      <c r="BC76" s="227"/>
      <c r="BD76" s="1233" t="s">
        <v>2006</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M10670::ТЭ.73.28136693.0002::Неопределено::Неопределено::Неопределено::Неопределено::Неопределено::Неопределено::8.0.5.</v>
      </c>
    </row>
    <row s="2040" customFormat="1" customHeight="1" ht="16.5">
      <c r="A77" s="232"/>
      <c r="B77" s="232"/>
      <c r="C77" s="1299" t="s">
        <v>1695</v>
      </c>
      <c r="D77" s="1318" t="s">
        <v>1696</v>
      </c>
      <c r="E77" s="794">
        <v>17</v>
      </c>
      <c r="F77" s="736" cm="1" t="str">
        <f t="array" ref="F77:F77">OFFSET(G77,-1,-1)</f>
        <v>1</v>
      </c>
      <c r="G77" s="736" t="s">
        <v>1704</v>
      </c>
      <c r="H77" s="232"/>
      <c r="I77" s="232"/>
      <c r="J77" s="232"/>
      <c r="K77" s="232"/>
      <c r="L77" s="1284"/>
      <c r="M77" s="1285" cm="1" t="str">
        <f t="array" ref="M77:M77">OFFSET(L77,-1,1)</f>
        <v>ТЭ.73.28136693.0002</v>
      </c>
      <c r="N77" s="1284"/>
      <c r="O77" s="1284"/>
      <c r="P77" s="1284"/>
      <c r="Q77" s="1295"/>
      <c r="R77" s="1295"/>
      <c r="S77" s="1287" t="s">
        <v>1701</v>
      </c>
      <c r="T77" s="805">
        <f>AND(F77&gt;0,OR(ISBLANK(Y77),Y77&gt;0))</f>
        <v>1</v>
      </c>
      <c r="U77" s="232"/>
      <c r="V77" s="232"/>
      <c r="W77" s="232"/>
      <c r="X77" s="232"/>
      <c r="Y77" s="232"/>
      <c r="Z77" s="232"/>
      <c r="AA77" s="232"/>
      <c r="AB77" s="170" t="s">
        <v>478</v>
      </c>
      <c r="AC77" s="286" t="s">
        <v>1705</v>
      </c>
      <c r="AD77" s="166" t="s">
        <v>889</v>
      </c>
      <c r="AE77" s="308">
        <f>_xlfn.IFERROR((AE55*1000-AE74*AE75)/AE76,0)</f>
        <v>0</v>
      </c>
      <c r="AF77" s="1835">
        <f>_xlfn.IFERROR((AF55*1000-AF74*AF75)/AF76,0)</f>
        <v>0</v>
      </c>
      <c r="AG77" s="1835">
        <f>_xlfn.IFERROR((AG55*1000-AG74*AG75)/AG76,0)</f>
        <v>0</v>
      </c>
      <c r="AH77" s="1860">
        <f>_xlfn.IFERROR((AH55*1000-AH74*AH75)/AH76,0)</f>
        <v>0</v>
      </c>
      <c r="AI77" s="1860">
        <f>_xlfn.IFERROR((AI55*1000-AI74*AI75)/AI76,0)</f>
        <v>0</v>
      </c>
      <c r="AJ77" s="1860">
        <f>_xlfn.IFERROR((AJ55*1000-AJ74*AJ75)/AJ76,0)</f>
        <v>0</v>
      </c>
      <c r="AK77" s="1860">
        <f>_xlfn.IFERROR((AK55*1000-AK74*AK75)/AK76,0)</f>
        <v>0</v>
      </c>
      <c r="AL77" s="1860">
        <f>_xlfn.IFERROR((AL55*1000-AL74*AL75)/AL76,0)</f>
        <v>0</v>
      </c>
      <c r="AM77" s="1860">
        <f>_xlfn.IFERROR((AM55*1000-AM74*AM75)/AM76,0)</f>
        <v>0</v>
      </c>
      <c r="AN77" s="1860">
        <f>_xlfn.IFERROR((AN55*1000-AN74*AN75)/AN76,0)</f>
        <v>0</v>
      </c>
      <c r="AO77" s="308">
        <f>_xlfn.IFERROR((AO55*1000-AO74*AO75)/AO76,0)</f>
        <v>0</v>
      </c>
      <c r="AP77" s="1835">
        <f>_xlfn.IFERROR((AP55*1000-AP74*AP75)/AP76,0)</f>
        <v>0</v>
      </c>
      <c r="AQ77" s="1835">
        <f>_xlfn.IFERROR((AQ55*1000-AQ74*AQ75)/AQ76,0)</f>
        <v>0</v>
      </c>
      <c r="AR77" s="1860">
        <f>_xlfn.IFERROR((AR55*1000-AR74*AR75)/AR76,0)</f>
        <v>0</v>
      </c>
      <c r="AS77" s="1860">
        <f>_xlfn.IFERROR((AS55*1000-AS74*AS75)/AS76,0)</f>
        <v>0</v>
      </c>
      <c r="AT77" s="1860">
        <f>_xlfn.IFERROR((AT55*1000-AT74*AT75)/AT76,0)</f>
        <v>0</v>
      </c>
      <c r="AU77" s="1860">
        <f>_xlfn.IFERROR((AU55*1000-AU74*AU75)/AU76,0)</f>
        <v>0</v>
      </c>
      <c r="AV77" s="1860">
        <f>_xlfn.IFERROR((AV55*1000-AV74*AV75)/AV76,0)</f>
        <v>0</v>
      </c>
      <c r="AW77" s="1860">
        <f>_xlfn.IFERROR((AW55*1000-AW74*AW75)/AW76,0)</f>
        <v>0</v>
      </c>
      <c r="AX77" s="1860">
        <f>_xlfn.IFERROR((AX55*1000-AX74*AX75)/AX76,0)</f>
        <v>0</v>
      </c>
      <c r="AY77" s="1792"/>
      <c r="AZ77" s="1792"/>
      <c r="BA77" s="1792"/>
      <c r="BB77" s="232"/>
      <c r="BC77" s="232"/>
      <c r="BD77" s="1233" t="s">
        <v>2007</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M10546::ТЭ.73.28136693.0002::Неопределено::Неопределено::Неопределено::Неопределено::Неопределено::Неопределено::8.0.5.</v>
      </c>
    </row>
    <row s="2041" customFormat="1" customHeight="1" ht="16.5">
      <c r="A78" s="232"/>
      <c r="B78" s="232"/>
      <c r="C78" s="1299" t="s">
        <v>1707</v>
      </c>
      <c r="D78" s="1318" t="s">
        <v>1708</v>
      </c>
      <c r="E78" s="794">
        <v>17</v>
      </c>
      <c r="F78" s="736" cm="1" t="str">
        <f t="array" ref="F78:F78">OFFSET(G78,-1,-1)</f>
        <v>1</v>
      </c>
      <c r="G78" s="232"/>
      <c r="H78" s="232"/>
      <c r="I78" s="232"/>
      <c r="J78" s="232"/>
      <c r="K78" s="232"/>
      <c r="L78" s="1284"/>
      <c r="M78" s="1285" cm="1" t="str">
        <f t="array" ref="M78:M78">OFFSET(L78,-1,1)</f>
        <v>ТЭ.73.28136693.0002</v>
      </c>
      <c r="N78" s="1284"/>
      <c r="O78" s="1284"/>
      <c r="P78" s="1284"/>
      <c r="Q78" s="1295"/>
      <c r="R78" s="1295"/>
      <c r="S78" s="1284"/>
      <c r="T78" s="805">
        <f>AND(F78&gt;0,OR(ISBLANK(Y78),Y78&gt;0))</f>
        <v>1</v>
      </c>
      <c r="U78" s="232"/>
      <c r="V78" s="232"/>
      <c r="W78" s="232"/>
      <c r="X78" s="232"/>
      <c r="Y78" s="232"/>
      <c r="Z78" s="232"/>
      <c r="AA78" s="232"/>
      <c r="AB78" s="170" t="s">
        <v>1527</v>
      </c>
      <c r="AC78" s="161" t="s">
        <v>2008</v>
      </c>
      <c r="AD78" s="555" t="s">
        <v>485</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92"/>
      <c r="AZ78" s="1792"/>
      <c r="BA78" s="1792"/>
      <c r="BB78" s="232"/>
      <c r="BC78" s="232"/>
      <c r="BD78" s="1233" t="s">
        <v>2009</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M11244::ТЭ.73.28136693.0002::Неопределено::Неопределено::Неопределено::Неопределено::Неопределено::Неопределено::Неопределено</v>
      </c>
    </row>
    <row s="1642" customFormat="1" customHeight="1" ht="16.5">
      <c r="A79" s="1184"/>
      <c r="B79" s="925"/>
      <c r="C79" s="1299" t="s">
        <v>1711</v>
      </c>
      <c r="D79" s="1318" t="s">
        <v>1712</v>
      </c>
      <c r="E79" s="794">
        <v>17</v>
      </c>
      <c r="F79" s="736" cm="1" t="str">
        <f t="array" ref="F79:F79">OFFSET(G79,-1,-1)</f>
        <v>1</v>
      </c>
      <c r="G79" s="227"/>
      <c r="H79" s="227"/>
      <c r="I79" s="227"/>
      <c r="J79" s="227"/>
      <c r="K79" s="227"/>
      <c r="L79" s="1285"/>
      <c r="M79" s="1285" cm="1" t="str">
        <f t="array" ref="M79:M79">OFFSET(L79,-1,1)</f>
        <v>ТЭ.73.28136693.0002</v>
      </c>
      <c r="N79" s="1285"/>
      <c r="O79" s="1285"/>
      <c r="P79" s="1285"/>
      <c r="Q79" s="1287"/>
      <c r="R79" s="1287"/>
      <c r="S79" s="1285"/>
      <c r="T79" s="805">
        <f>AND(F79&gt;0,OR(ISBLANK(Y79),Y79&gt;0))</f>
        <v>1</v>
      </c>
      <c r="U79" s="1437"/>
      <c r="V79" s="1437"/>
      <c r="W79" s="1437"/>
      <c r="X79" s="1437"/>
      <c r="Y79" s="1437"/>
      <c r="Z79" s="1437"/>
      <c r="AA79" s="227"/>
      <c r="AB79" s="170" t="s">
        <v>1955</v>
      </c>
      <c r="AC79" s="161" t="s">
        <v>2010</v>
      </c>
      <c r="AD79" s="555" t="s">
        <v>889</v>
      </c>
      <c r="AE79" s="705">
        <f>_xlfn.IFERROR(AE55*1000/(AE74+AE76),0)</f>
        <v>0</v>
      </c>
      <c r="AF79" s="2039">
        <f>_xlfn.IFERROR(AF55*1000/(AF74+AF76),0)</f>
        <v>0</v>
      </c>
      <c r="AG79" s="2039">
        <f>_xlfn.IFERROR(AG55*1000/(AG74+AG76),0)</f>
        <v>0</v>
      </c>
      <c r="AH79" s="1952">
        <f>_xlfn.IFERROR(AH55*1000/(AH74+AH76),0)</f>
        <v>0</v>
      </c>
      <c r="AI79" s="1952">
        <f>_xlfn.IFERROR(AI55*1000/(AI74+AI76),0)</f>
        <v>0</v>
      </c>
      <c r="AJ79" s="1952">
        <f>_xlfn.IFERROR(AJ55*1000/(AJ74+AJ76),0)</f>
        <v>0</v>
      </c>
      <c r="AK79" s="1952">
        <f>_xlfn.IFERROR(AK55*1000/(AK74+AK76),0)</f>
        <v>0</v>
      </c>
      <c r="AL79" s="1952">
        <f>_xlfn.IFERROR(AL55*1000/(AL74+AL76),0)</f>
        <v>0</v>
      </c>
      <c r="AM79" s="1952">
        <f>_xlfn.IFERROR(AM55*1000/(AM74+AM76),0)</f>
        <v>0</v>
      </c>
      <c r="AN79" s="1952">
        <f>_xlfn.IFERROR(AN55*1000/(AN74+AN76),0)</f>
        <v>0</v>
      </c>
      <c r="AO79" s="705">
        <f>_xlfn.IFERROR(AO55*1000/(AO74+AO76),0)</f>
        <v>0</v>
      </c>
      <c r="AP79" s="2039">
        <f>_xlfn.IFERROR(AP55*1000/(AP74+AP76),0)</f>
        <v>0</v>
      </c>
      <c r="AQ79" s="2039">
        <f>_xlfn.IFERROR(AQ55*1000/(AQ74+AQ76),0)</f>
        <v>0</v>
      </c>
      <c r="AR79" s="1952">
        <f>_xlfn.IFERROR(AR55*1000/(AR74+AR76),0)</f>
        <v>0</v>
      </c>
      <c r="AS79" s="1952">
        <f>_xlfn.IFERROR(AS55*1000/(AS74+AS76),0)</f>
        <v>0</v>
      </c>
      <c r="AT79" s="1952">
        <f>_xlfn.IFERROR(AT55*1000/(AT74+AT76),0)</f>
        <v>0</v>
      </c>
      <c r="AU79" s="1952">
        <f>_xlfn.IFERROR(AU55*1000/(AU74+AU76),0)</f>
        <v>0</v>
      </c>
      <c r="AV79" s="1952">
        <f>_xlfn.IFERROR(AV55*1000/(AV74+AV76),0)</f>
        <v>0</v>
      </c>
      <c r="AW79" s="1952">
        <f>_xlfn.IFERROR(AW55*1000/(AW74+AW76),0)</f>
        <v>0</v>
      </c>
      <c r="AX79" s="1952">
        <f>_xlfn.IFERROR(AX55*1000/(AX74+AX76),0)</f>
        <v>0</v>
      </c>
      <c r="AY79" s="1792"/>
      <c r="AZ79" s="1792"/>
      <c r="BA79" s="1792"/>
      <c r="BB79" s="227"/>
      <c r="BC79" s="227"/>
      <c r="BD79" s="1233" t="s">
        <v>2011</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M10552::ТЭ.73.28136693.0002::Неопределено::Неопределено::Неопределено::Неопределено::Неопределено::Неопределено::Неопределено</v>
      </c>
    </row>
    <row s="1642" customFormat="1" customHeight="1" ht="33.75">
      <c r="A80" s="1184"/>
      <c r="B80" s="925"/>
      <c r="C80" s="1299" t="s">
        <v>1755</v>
      </c>
      <c r="D80" s="1318" t="s">
        <v>1756</v>
      </c>
      <c r="E80" s="794">
        <v>35</v>
      </c>
      <c r="F80" s="736" cm="1" t="str">
        <f t="array" ref="F80:F80">OFFSET(G80,-1,-1)</f>
        <v>1</v>
      </c>
      <c r="G80" s="227"/>
      <c r="H80" s="227"/>
      <c r="I80" s="227"/>
      <c r="J80" s="227"/>
      <c r="K80" s="227"/>
      <c r="L80" s="1285"/>
      <c r="M80" s="1285" cm="1" t="str">
        <f t="array" ref="M80:M80">OFFSET(L80,-1,1)</f>
        <v>ТЭ.73.28136693.0002</v>
      </c>
      <c r="N80" s="1285"/>
      <c r="O80" s="1285"/>
      <c r="P80" s="1285"/>
      <c r="Q80" s="1287"/>
      <c r="R80" s="1287"/>
      <c r="S80" s="1285"/>
      <c r="T80" s="805">
        <f>AND(F80&gt;0,OR(ISBLANK(Y80),Y80&gt;0))</f>
        <v>1</v>
      </c>
      <c r="U80" s="1437"/>
      <c r="V80" s="1437"/>
      <c r="W80" s="1437"/>
      <c r="X80" s="1437"/>
      <c r="Y80" s="1437"/>
      <c r="Z80" s="1437"/>
      <c r="AA80" s="227"/>
      <c r="AB80" s="170" t="s">
        <v>608</v>
      </c>
      <c r="AC80" s="320" t="s">
        <v>1758</v>
      </c>
      <c r="AD80" s="571" t="s">
        <v>1368</v>
      </c>
      <c r="AE80" s="308"/>
      <c r="AF80" s="1835"/>
      <c r="AG80" s="1835"/>
      <c r="AH80" s="1860"/>
      <c r="AI80" s="1860"/>
      <c r="AJ80" s="1860"/>
      <c r="AK80" s="1860"/>
      <c r="AL80" s="1860"/>
      <c r="AM80" s="1860"/>
      <c r="AN80" s="1860"/>
      <c r="AO80" s="308"/>
      <c r="AP80" s="1835"/>
      <c r="AQ80" s="1835"/>
      <c r="AR80" s="1860"/>
      <c r="AS80" s="1860"/>
      <c r="AT80" s="1860"/>
      <c r="AU80" s="1860"/>
      <c r="AV80" s="1860"/>
      <c r="AW80" s="1860"/>
      <c r="AX80" s="1860"/>
      <c r="AY80" s="1792"/>
      <c r="AZ80" s="1792"/>
      <c r="BA80" s="1792"/>
      <c r="BB80" s="227"/>
      <c r="BC80" s="227"/>
      <c r="BD80" s="1233" t="s">
        <v>1759</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M10591::ТЭ.73.28136693.0002::Неопределено::Неопределено::Неопределено::Неопределено::Неопределено::Неопределено::Неопределено</v>
      </c>
    </row>
    <row customHeight="1" ht="9.945">
      <c r="E81" s="794">
        <v>10.2</v>
      </c>
      <c r="U81" s="176" t="s">
        <v>237</v>
      </c>
      <c r="V81" s="168" t="s">
        <v>2012</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7" t="s">
        <v>694</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235</v>
      </c>
      <c r="X85" s="1437"/>
      <c r="Y85" s="1437"/>
      <c r="Z85" s="1437"/>
      <c r="AA85" s="915" t="s">
        <v>219</v>
      </c>
      <c r="AB85" s="1938"/>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1168</v>
      </c>
      <c r="AA86" s="210"/>
      <c r="AB86" s="1453" t="s">
        <v>695</v>
      </c>
      <c r="AC86" s="1454"/>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097368-6255-C7A8-2BA8-E6177BA57FED}" mc:Ignorable="x14ac xr xr2 xr3">
  <sheetPr>
    <tabColor rgb="FF002060"/>
    <outlinePr summaryBelow="0"/>
  </sheetPr>
  <dimension ref="A1:BF75"/>
  <sheetViews>
    <sheetView showGridLines="0" workbookViewId="0">
      <pane xSplit="30" ySplit="28" topLeftCell="AE71" activePane="bottomRight" state="frozen"/>
      <selection pane="bottomLeft" activeCell="A29" sqref="A29"/>
      <selection pane="topRight" activeCell="AE1" sqref="AE1"/>
      <selection pane="bottomRight" activeCell="AI55" sqref="AI55"/>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424</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425</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426</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Ульяновская область / 2026 / ООО "НИИАР-ГЕНЕРАЦИЯ" (ИНН:7329008990, КПП:732901001)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2013</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385</v>
      </c>
      <c r="AC26" s="1450" t="s">
        <v>2014</v>
      </c>
      <c r="AD26" s="1450" t="s">
        <v>428</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0" t="s">
        <v>582</v>
      </c>
    </row>
    <row s="1444" customFormat="1" customHeight="1" ht="74.5875">
      <c r="B27" s="789"/>
      <c r="E27" s="800">
        <v>76.5</v>
      </c>
      <c r="G27" s="212"/>
      <c r="H27" s="212"/>
      <c r="I27" s="212"/>
      <c r="J27" s="212"/>
      <c r="K27" s="212"/>
      <c r="L27" s="212"/>
      <c r="M27" s="212"/>
      <c r="N27" s="212"/>
      <c r="O27" s="212"/>
      <c r="P27" s="212"/>
      <c r="Q27" s="212"/>
      <c r="R27" s="212"/>
      <c r="S27" s="212"/>
      <c r="AB27" s="1441"/>
      <c r="AC27" s="1450"/>
      <c r="AD27" s="1450"/>
      <c r="AE27" s="166" t="s">
        <v>2015</v>
      </c>
      <c r="AF27" s="166" t="s">
        <v>401</v>
      </c>
      <c r="AG27" s="166" t="s">
        <v>2015</v>
      </c>
      <c r="AH27" s="319" t="s">
        <v>401</v>
      </c>
      <c r="AI27" s="1355" t="s">
        <v>402</v>
      </c>
      <c r="AJ27" s="1355" t="s">
        <v>402</v>
      </c>
      <c r="AK27" s="1355" t="s">
        <v>402</v>
      </c>
      <c r="AL27" s="1355" t="s">
        <v>402</v>
      </c>
      <c r="AM27" s="1355" t="s">
        <v>402</v>
      </c>
      <c r="AN27" s="1355" t="s">
        <v>402</v>
      </c>
      <c r="AO27" s="1355" t="s">
        <v>402</v>
      </c>
      <c r="AP27" s="1355" t="s">
        <v>402</v>
      </c>
      <c r="AQ27" s="1355" t="s">
        <v>402</v>
      </c>
      <c r="AR27" s="1355" t="s">
        <v>402</v>
      </c>
      <c r="AS27" s="410" t="s">
        <v>401</v>
      </c>
      <c r="AT27" s="410" t="s">
        <v>401</v>
      </c>
      <c r="AU27" s="410" t="s">
        <v>401</v>
      </c>
      <c r="AV27" s="410" t="s">
        <v>401</v>
      </c>
      <c r="AW27" s="410" t="s">
        <v>401</v>
      </c>
      <c r="AX27" s="410" t="s">
        <v>401</v>
      </c>
      <c r="AY27" s="410" t="s">
        <v>401</v>
      </c>
      <c r="AZ27" s="410" t="s">
        <v>401</v>
      </c>
      <c r="BA27" s="410" t="s">
        <v>401</v>
      </c>
      <c r="BB27" s="410" t="s">
        <v>401</v>
      </c>
      <c r="BC27" s="1450"/>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311</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2016</v>
      </c>
      <c r="AD30" s="315" t="s">
        <v>799</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587</v>
      </c>
    </row>
    <row customHeight="1" ht="16.672500000000003" hidden="1">
      <c r="E31" s="794">
        <v>17.1</v>
      </c>
      <c r="F31" s="920" cm="1" t="str">
        <f t="array" ref="F31:F31">OFFSET(G31,-1,-1)</f>
        <v>0</v>
      </c>
      <c r="T31" s="805" cm="1" t="str">
        <f t="array" ref="T31:T31">T30</f>
        <v>false</v>
      </c>
      <c r="AB31" s="166">
        <v>1</v>
      </c>
      <c r="AC31" s="312" t="s">
        <v>2017</v>
      </c>
      <c r="AD31" s="309" t="s">
        <v>799</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600</v>
      </c>
    </row>
    <row customHeight="1" ht="22.23" hidden="1">
      <c r="E32" s="794">
        <v>22.8</v>
      </c>
      <c r="F32" s="920" cm="1" t="str">
        <f t="array" ref="F32:F32">OFFSET(G32,-1,-1)</f>
        <v>0</v>
      </c>
      <c r="T32" s="805" cm="1" t="str">
        <f t="array" ref="T32:T32">T31</f>
        <v>false</v>
      </c>
      <c r="AB32" s="311" t="s">
        <v>436</v>
      </c>
      <c r="AC32" s="312" t="s">
        <v>2018</v>
      </c>
      <c r="AD32" s="309" t="s">
        <v>799</v>
      </c>
      <c r="AE32" s="99"/>
      <c r="AF32" s="99"/>
      <c r="AG32" s="99"/>
      <c r="AH32" s="99"/>
      <c r="AI32" s="308"/>
      <c r="AJ32" s="1835"/>
      <c r="AK32" s="1835"/>
      <c r="AL32" s="99"/>
      <c r="AM32" s="99"/>
      <c r="AN32" s="99"/>
      <c r="AO32" s="99"/>
      <c r="AP32" s="99"/>
      <c r="AQ32" s="99"/>
      <c r="AR32" s="99"/>
      <c r="AS32" s="308"/>
      <c r="AT32" s="1835"/>
      <c r="AU32" s="1835"/>
      <c r="AV32" s="99"/>
      <c r="AW32" s="99"/>
      <c r="AX32" s="99"/>
      <c r="AY32" s="99"/>
      <c r="AZ32" s="99"/>
      <c r="BA32" s="99"/>
      <c r="BB32" s="99"/>
      <c r="BC32" s="74"/>
      <c r="BF32" s="1182" t="s">
        <v>1338</v>
      </c>
    </row>
    <row customHeight="1" ht="33.345000000000006" hidden="1">
      <c r="E33" s="794">
        <v>34.2</v>
      </c>
      <c r="F33" s="920" cm="1" t="str">
        <f t="array" ref="F33:F33">OFFSET(G33,-1,-1)</f>
        <v>0</v>
      </c>
      <c r="T33" s="805" cm="1" t="str">
        <f t="array" ref="T33:T33">T32</f>
        <v>false</v>
      </c>
      <c r="AB33" s="311" t="s">
        <v>899</v>
      </c>
      <c r="AC33" s="312" t="s">
        <v>2019</v>
      </c>
      <c r="AD33" s="309" t="s">
        <v>799</v>
      </c>
      <c r="AE33" s="99"/>
      <c r="AF33" s="99"/>
      <c r="AG33" s="99"/>
      <c r="AH33" s="99"/>
      <c r="AI33" s="308"/>
      <c r="AJ33" s="1835"/>
      <c r="AK33" s="1835"/>
      <c r="AL33" s="99"/>
      <c r="AM33" s="99"/>
      <c r="AN33" s="99"/>
      <c r="AO33" s="99"/>
      <c r="AP33" s="99"/>
      <c r="AQ33" s="99"/>
      <c r="AR33" s="99"/>
      <c r="AS33" s="308"/>
      <c r="AT33" s="1835"/>
      <c r="AU33" s="1835"/>
      <c r="AV33" s="99"/>
      <c r="AW33" s="99"/>
      <c r="AX33" s="99"/>
      <c r="AY33" s="99"/>
      <c r="AZ33" s="99"/>
      <c r="BA33" s="99"/>
      <c r="BB33" s="99"/>
      <c r="BC33" s="74"/>
      <c r="BF33" s="1182" t="s">
        <v>2020</v>
      </c>
    </row>
    <row customHeight="1" ht="16.672500000000003" hidden="1">
      <c r="E34" s="794">
        <v>17.1</v>
      </c>
      <c r="F34" s="920" cm="1" t="str">
        <f t="array" ref="F34:F34">OFFSET(G34,-1,-1)</f>
        <v>0</v>
      </c>
      <c r="T34" s="805" cm="1" t="str">
        <f t="array" ref="T34:T34">T33</f>
        <v>false</v>
      </c>
      <c r="AB34" s="311" t="s">
        <v>901</v>
      </c>
      <c r="AC34" s="312" t="s">
        <v>2021</v>
      </c>
      <c r="AD34" s="309" t="s">
        <v>799</v>
      </c>
      <c r="AE34" s="99"/>
      <c r="AF34" s="99"/>
      <c r="AG34" s="99"/>
      <c r="AH34" s="99"/>
      <c r="AI34" s="308"/>
      <c r="AJ34" s="1835"/>
      <c r="AK34" s="1835"/>
      <c r="AL34" s="99"/>
      <c r="AM34" s="99"/>
      <c r="AN34" s="99"/>
      <c r="AO34" s="99"/>
      <c r="AP34" s="99"/>
      <c r="AQ34" s="99"/>
      <c r="AR34" s="99"/>
      <c r="AS34" s="308"/>
      <c r="AT34" s="1835"/>
      <c r="AU34" s="1835"/>
      <c r="AV34" s="99"/>
      <c r="AW34" s="99"/>
      <c r="AX34" s="99"/>
      <c r="AY34" s="99"/>
      <c r="AZ34" s="99"/>
      <c r="BA34" s="99"/>
      <c r="BB34" s="99"/>
      <c r="BC34" s="74"/>
      <c r="BF34" s="1182" t="s">
        <v>1346</v>
      </c>
    </row>
    <row customHeight="1" ht="22.23" hidden="1">
      <c r="E35" s="794">
        <v>22.8</v>
      </c>
      <c r="F35" s="920" cm="1" t="str">
        <f t="array" ref="F35:F35">OFFSET(G35,-1,-1)</f>
        <v>0</v>
      </c>
      <c r="T35" s="805" cm="1" t="str">
        <f t="array" ref="T35:T35">T34</f>
        <v>false</v>
      </c>
      <c r="AB35" s="311" t="s">
        <v>1132</v>
      </c>
      <c r="AC35" s="312" t="s">
        <v>2022</v>
      </c>
      <c r="AD35" s="309" t="s">
        <v>799</v>
      </c>
      <c r="AE35" s="99"/>
      <c r="AF35" s="99"/>
      <c r="AG35" s="99"/>
      <c r="AH35" s="99"/>
      <c r="AI35" s="308"/>
      <c r="AJ35" s="1835"/>
      <c r="AK35" s="1835"/>
      <c r="AL35" s="99"/>
      <c r="AM35" s="99"/>
      <c r="AN35" s="99"/>
      <c r="AO35" s="99"/>
      <c r="AP35" s="99"/>
      <c r="AQ35" s="99"/>
      <c r="AR35" s="99"/>
      <c r="AS35" s="308"/>
      <c r="AT35" s="1835"/>
      <c r="AU35" s="1835"/>
      <c r="AV35" s="99"/>
      <c r="AW35" s="99"/>
      <c r="AX35" s="99"/>
      <c r="AY35" s="99"/>
      <c r="AZ35" s="99"/>
      <c r="BA35" s="99"/>
      <c r="BB35" s="99"/>
      <c r="BC35" s="74"/>
      <c r="BF35" s="1182" t="s">
        <v>2023</v>
      </c>
    </row>
    <row customHeight="1" ht="55.57500000000001" hidden="1">
      <c r="E36" s="794">
        <v>57</v>
      </c>
      <c r="F36" s="920" cm="1" t="str">
        <f t="array" ref="F36:F36">OFFSET(G36,-1,-1)</f>
        <v>0</v>
      </c>
      <c r="T36" s="805" cm="1" t="str">
        <f t="array" ref="T36:T36">T35</f>
        <v>false</v>
      </c>
      <c r="AB36" s="311" t="s">
        <v>1136</v>
      </c>
      <c r="AC36" s="312" t="s">
        <v>2024</v>
      </c>
      <c r="AD36" s="309" t="s">
        <v>799</v>
      </c>
      <c r="AE36" s="99"/>
      <c r="AF36" s="99"/>
      <c r="AG36" s="99"/>
      <c r="AH36" s="99"/>
      <c r="AI36" s="308"/>
      <c r="AJ36" s="1835"/>
      <c r="AK36" s="1835"/>
      <c r="AL36" s="99"/>
      <c r="AM36" s="99"/>
      <c r="AN36" s="99"/>
      <c r="AO36" s="99"/>
      <c r="AP36" s="99"/>
      <c r="AQ36" s="99"/>
      <c r="AR36" s="99"/>
      <c r="AS36" s="308"/>
      <c r="AT36" s="1835"/>
      <c r="AU36" s="1835"/>
      <c r="AV36" s="99"/>
      <c r="AW36" s="99"/>
      <c r="AX36" s="99"/>
      <c r="AY36" s="99"/>
      <c r="AZ36" s="99"/>
      <c r="BA36" s="99"/>
      <c r="BB36" s="99"/>
      <c r="BC36" s="74"/>
      <c r="BF36" s="1182" t="s">
        <v>2025</v>
      </c>
    </row>
    <row customHeight="1" ht="44.46" hidden="1">
      <c r="E37" s="794">
        <v>45.6</v>
      </c>
      <c r="F37" s="920" cm="1" t="str">
        <f t="array" ref="F37:F37">OFFSET(G37,-1,-1)</f>
        <v>0</v>
      </c>
      <c r="T37" s="805" cm="1" t="str">
        <f t="array" ref="T37:T37">T36</f>
        <v>false</v>
      </c>
      <c r="AB37" s="311" t="s">
        <v>905</v>
      </c>
      <c r="AC37" s="312" t="s">
        <v>2026</v>
      </c>
      <c r="AD37" s="309" t="s">
        <v>799</v>
      </c>
      <c r="AE37" s="99"/>
      <c r="AF37" s="99"/>
      <c r="AG37" s="99"/>
      <c r="AH37" s="99"/>
      <c r="AI37" s="308"/>
      <c r="AJ37" s="1835"/>
      <c r="AK37" s="1835"/>
      <c r="AL37" s="99"/>
      <c r="AM37" s="99"/>
      <c r="AN37" s="99"/>
      <c r="AO37" s="99"/>
      <c r="AP37" s="99"/>
      <c r="AQ37" s="99"/>
      <c r="AR37" s="99"/>
      <c r="AS37" s="308"/>
      <c r="AT37" s="1835"/>
      <c r="AU37" s="1835"/>
      <c r="AV37" s="99"/>
      <c r="AW37" s="99"/>
      <c r="AX37" s="99"/>
      <c r="AY37" s="99"/>
      <c r="AZ37" s="99"/>
      <c r="BA37" s="99"/>
      <c r="BB37" s="99"/>
      <c r="BC37" s="74"/>
      <c r="BF37" s="1182" t="s">
        <v>2027</v>
      </c>
    </row>
    <row customHeight="1" ht="22.23" hidden="1">
      <c r="E38" s="794">
        <v>22.8</v>
      </c>
      <c r="F38" s="920" cm="1" t="str">
        <f t="array" ref="F38:F38">OFFSET(G38,-1,-1)</f>
        <v>0</v>
      </c>
      <c r="T38" s="805" cm="1" t="str">
        <f t="array" ref="T38:T38">T37</f>
        <v>false</v>
      </c>
      <c r="AB38" s="311" t="s">
        <v>1009</v>
      </c>
      <c r="AC38" s="312" t="s">
        <v>2028</v>
      </c>
      <c r="AD38" s="309" t="s">
        <v>799</v>
      </c>
      <c r="AE38" s="99"/>
      <c r="AF38" s="99"/>
      <c r="AG38" s="99"/>
      <c r="AH38" s="99"/>
      <c r="AI38" s="308"/>
      <c r="AJ38" s="1835"/>
      <c r="AK38" s="1835"/>
      <c r="AL38" s="99"/>
      <c r="AM38" s="99"/>
      <c r="AN38" s="99"/>
      <c r="AO38" s="99"/>
      <c r="AP38" s="99"/>
      <c r="AQ38" s="99"/>
      <c r="AR38" s="99"/>
      <c r="AS38" s="308"/>
      <c r="AT38" s="1835"/>
      <c r="AU38" s="1835"/>
      <c r="AV38" s="99"/>
      <c r="AW38" s="99"/>
      <c r="AX38" s="99"/>
      <c r="AY38" s="99"/>
      <c r="AZ38" s="99"/>
      <c r="BA38" s="99"/>
      <c r="BB38" s="99"/>
      <c r="BC38" s="74"/>
      <c r="BF38" s="1182" t="s">
        <v>1130</v>
      </c>
    </row>
    <row customHeight="1" ht="22.23" hidden="1">
      <c r="E39" s="794">
        <v>22.8</v>
      </c>
      <c r="F39" s="920" cm="1" t="str">
        <f t="array" ref="F39:F39">OFFSET(G39,-1,-1)</f>
        <v>0</v>
      </c>
      <c r="T39" s="805" cm="1" t="str">
        <f t="array" ref="T39:T39">T38</f>
        <v>false</v>
      </c>
      <c r="AB39" s="311" t="s">
        <v>440</v>
      </c>
      <c r="AC39" s="312" t="s">
        <v>2029</v>
      </c>
      <c r="AD39" s="309" t="s">
        <v>799</v>
      </c>
      <c r="AE39" s="99"/>
      <c r="AF39" s="99"/>
      <c r="AG39" s="99"/>
      <c r="AH39" s="99"/>
      <c r="AI39" s="308"/>
      <c r="AJ39" s="1835"/>
      <c r="AK39" s="1835"/>
      <c r="AL39" s="99"/>
      <c r="AM39" s="99"/>
      <c r="AN39" s="99"/>
      <c r="AO39" s="99"/>
      <c r="AP39" s="99"/>
      <c r="AQ39" s="99"/>
      <c r="AR39" s="99"/>
      <c r="AS39" s="308"/>
      <c r="AT39" s="1835"/>
      <c r="AU39" s="1835"/>
      <c r="AV39" s="99"/>
      <c r="AW39" s="99"/>
      <c r="AX39" s="99"/>
      <c r="AY39" s="99"/>
      <c r="AZ39" s="99"/>
      <c r="BA39" s="99"/>
      <c r="BB39" s="99"/>
      <c r="BC39" s="74"/>
      <c r="BF39" s="1182" t="s">
        <v>1233</v>
      </c>
    </row>
    <row customHeight="1" ht="16.672500000000003" hidden="1">
      <c r="E40" s="794">
        <v>17.1</v>
      </c>
      <c r="F40" s="920" cm="1" t="str">
        <f t="array" ref="F40:F40">OFFSET(G40,-1,-1)</f>
        <v>0</v>
      </c>
      <c r="T40" s="805" cm="1" t="str">
        <f t="array" ref="T40:T40">T39</f>
        <v>false</v>
      </c>
      <c r="AB40" s="311" t="s">
        <v>608</v>
      </c>
      <c r="AC40" s="312" t="s">
        <v>2030</v>
      </c>
      <c r="AD40" s="309" t="s">
        <v>799</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2031</v>
      </c>
    </row>
    <row customHeight="1" ht="16.672500000000003" hidden="1">
      <c r="E41" s="794">
        <v>17.1</v>
      </c>
      <c r="F41" s="920" cm="1" t="str">
        <f t="array" ref="F41:F41">OFFSET(G41,-1,-1)</f>
        <v>0</v>
      </c>
      <c r="T41" s="805" cm="1" t="str">
        <f t="array" ref="T41:T41">T40</f>
        <v>false</v>
      </c>
      <c r="AB41" s="311" t="s">
        <v>704</v>
      </c>
      <c r="AC41" s="313" t="s">
        <v>2032</v>
      </c>
      <c r="AD41" s="309" t="s">
        <v>799</v>
      </c>
      <c r="AE41" s="99"/>
      <c r="AF41" s="99"/>
      <c r="AG41" s="99"/>
      <c r="AH41" s="99"/>
      <c r="AI41" s="308"/>
      <c r="AJ41" s="1835"/>
      <c r="AK41" s="1835"/>
      <c r="AL41" s="99"/>
      <c r="AM41" s="99"/>
      <c r="AN41" s="99"/>
      <c r="AO41" s="99"/>
      <c r="AP41" s="99"/>
      <c r="AQ41" s="99"/>
      <c r="AR41" s="99"/>
      <c r="AS41" s="308"/>
      <c r="AT41" s="1835"/>
      <c r="AU41" s="1835"/>
      <c r="AV41" s="99"/>
      <c r="AW41" s="99"/>
      <c r="AX41" s="99"/>
      <c r="AY41" s="99"/>
      <c r="AZ41" s="99"/>
      <c r="BA41" s="99"/>
      <c r="BB41" s="99"/>
      <c r="BC41" s="74"/>
      <c r="BF41" s="1182" t="s">
        <v>1340</v>
      </c>
    </row>
    <row customHeight="1" ht="16.672500000000003" hidden="1">
      <c r="E42" s="794">
        <v>17.1</v>
      </c>
      <c r="F42" s="920" cm="1" t="str">
        <f t="array" ref="F42:F42">OFFSET(G42,-1,-1)</f>
        <v>0</v>
      </c>
      <c r="T42" s="805" cm="1" t="str">
        <f t="array" ref="T42:T42">T41</f>
        <v>false</v>
      </c>
      <c r="AB42" s="311" t="s">
        <v>707</v>
      </c>
      <c r="AC42" s="313" t="s">
        <v>2033</v>
      </c>
      <c r="AD42" s="309" t="s">
        <v>799</v>
      </c>
      <c r="AE42" s="99"/>
      <c r="AF42" s="99"/>
      <c r="AG42" s="99"/>
      <c r="AH42" s="99"/>
      <c r="AI42" s="308"/>
      <c r="AJ42" s="1835"/>
      <c r="AK42" s="1835"/>
      <c r="AL42" s="99"/>
      <c r="AM42" s="99"/>
      <c r="AN42" s="99"/>
      <c r="AO42" s="99"/>
      <c r="AP42" s="99"/>
      <c r="AQ42" s="99"/>
      <c r="AR42" s="99"/>
      <c r="AS42" s="308"/>
      <c r="AT42" s="1835"/>
      <c r="AU42" s="1835"/>
      <c r="AV42" s="99"/>
      <c r="AW42" s="99"/>
      <c r="AX42" s="99"/>
      <c r="AY42" s="99"/>
      <c r="AZ42" s="99"/>
      <c r="BA42" s="99"/>
      <c r="BB42" s="99"/>
      <c r="BC42" s="74"/>
      <c r="BF42" s="1182" t="s">
        <v>2034</v>
      </c>
    </row>
    <row customHeight="1" ht="16.672500000000003" hidden="1">
      <c r="E43" s="794">
        <v>17.1</v>
      </c>
      <c r="F43" s="920" cm="1" t="str">
        <f t="array" ref="F43:F43">OFFSET(G43,-1,-1)</f>
        <v>0</v>
      </c>
      <c r="T43" s="805" cm="1" t="str">
        <f t="array" ref="T43:T43">T42</f>
        <v>false</v>
      </c>
      <c r="AB43" s="311" t="s">
        <v>1875</v>
      </c>
      <c r="AC43" s="313" t="s">
        <v>2035</v>
      </c>
      <c r="AD43" s="309" t="s">
        <v>799</v>
      </c>
      <c r="AE43" s="99"/>
      <c r="AF43" s="99"/>
      <c r="AG43" s="99"/>
      <c r="AH43" s="99"/>
      <c r="AI43" s="308"/>
      <c r="AJ43" s="1835"/>
      <c r="AK43" s="1835"/>
      <c r="AL43" s="99"/>
      <c r="AM43" s="99"/>
      <c r="AN43" s="99"/>
      <c r="AO43" s="99"/>
      <c r="AP43" s="99"/>
      <c r="AQ43" s="99"/>
      <c r="AR43" s="99"/>
      <c r="AS43" s="308"/>
      <c r="AT43" s="1835"/>
      <c r="AU43" s="1835"/>
      <c r="AV43" s="99"/>
      <c r="AW43" s="99"/>
      <c r="AX43" s="99"/>
      <c r="AY43" s="99"/>
      <c r="AZ43" s="99"/>
      <c r="BA43" s="99"/>
      <c r="BB43" s="99"/>
      <c r="BC43" s="74"/>
      <c r="BF43" s="1182" t="s">
        <v>2036</v>
      </c>
    </row>
    <row customHeight="1" ht="16.672500000000003" hidden="1">
      <c r="E44" s="794">
        <v>17.1</v>
      </c>
      <c r="F44" s="920" cm="1" t="str">
        <f t="array" ref="F44:F44">OFFSET(G44,-1,-1)</f>
        <v>0</v>
      </c>
      <c r="T44" s="805" cm="1" t="str">
        <f t="array" ref="T44:T44">T43</f>
        <v>false</v>
      </c>
      <c r="AB44" s="311" t="s">
        <v>618</v>
      </c>
      <c r="AC44" s="312" t="s">
        <v>2037</v>
      </c>
      <c r="AD44" s="309" t="s">
        <v>799</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1759</v>
      </c>
    </row>
    <row customHeight="1" ht="16.672500000000003" hidden="1">
      <c r="E45" s="794">
        <v>17.1</v>
      </c>
      <c r="F45" s="920" cm="1" t="str">
        <f t="array" ref="F45:F45">OFFSET(G45,-1,-1)</f>
        <v>0</v>
      </c>
      <c r="T45" s="805" cm="1" t="str">
        <f t="array" ref="T45:T45">T44</f>
        <v>false</v>
      </c>
      <c r="AB45" s="311" t="s">
        <v>740</v>
      </c>
      <c r="AC45" s="313" t="s">
        <v>2038</v>
      </c>
      <c r="AD45" s="309" t="s">
        <v>799</v>
      </c>
      <c r="AE45" s="99"/>
      <c r="AF45" s="99"/>
      <c r="AG45" s="99"/>
      <c r="AH45" s="99"/>
      <c r="AI45" s="308"/>
      <c r="AJ45" s="1835"/>
      <c r="AK45" s="1835"/>
      <c r="AL45" s="99"/>
      <c r="AM45" s="99"/>
      <c r="AN45" s="99"/>
      <c r="AO45" s="99"/>
      <c r="AP45" s="99"/>
      <c r="AQ45" s="99"/>
      <c r="AR45" s="99"/>
      <c r="AS45" s="308"/>
      <c r="AT45" s="1835"/>
      <c r="AU45" s="1835"/>
      <c r="AV45" s="99"/>
      <c r="AW45" s="99"/>
      <c r="AX45" s="99"/>
      <c r="AY45" s="99"/>
      <c r="AZ45" s="99"/>
      <c r="BA45" s="99"/>
      <c r="BB45" s="99"/>
      <c r="BC45" s="74"/>
      <c r="BF45" s="1182" t="s">
        <v>2039</v>
      </c>
    </row>
    <row customHeight="1" ht="16.672500000000003" hidden="1">
      <c r="E46" s="794">
        <v>17.1</v>
      </c>
      <c r="F46" s="920" cm="1" t="str">
        <f t="array" ref="F46:F46">OFFSET(G46,-1,-1)</f>
        <v>0</v>
      </c>
      <c r="T46" s="805" cm="1" t="str">
        <f t="array" ref="T46:T46">T45</f>
        <v>false</v>
      </c>
      <c r="AB46" s="311" t="s">
        <v>1575</v>
      </c>
      <c r="AC46" s="313" t="s">
        <v>2040</v>
      </c>
      <c r="AD46" s="309" t="s">
        <v>799</v>
      </c>
      <c r="AE46" s="99"/>
      <c r="AF46" s="99"/>
      <c r="AG46" s="99"/>
      <c r="AH46" s="99"/>
      <c r="AI46" s="308"/>
      <c r="AJ46" s="1835"/>
      <c r="AK46" s="1835"/>
      <c r="AL46" s="99"/>
      <c r="AM46" s="99"/>
      <c r="AN46" s="99"/>
      <c r="AO46" s="99"/>
      <c r="AP46" s="99"/>
      <c r="AQ46" s="99"/>
      <c r="AR46" s="99"/>
      <c r="AS46" s="308"/>
      <c r="AT46" s="1835"/>
      <c r="AU46" s="1835"/>
      <c r="AV46" s="99"/>
      <c r="AW46" s="99"/>
      <c r="AX46" s="99"/>
      <c r="AY46" s="99"/>
      <c r="AZ46" s="99"/>
      <c r="BA46" s="99"/>
      <c r="BB46" s="99"/>
      <c r="BC46" s="74"/>
      <c r="BF46" s="1182" t="s">
        <v>2041</v>
      </c>
    </row>
    <row customHeight="1" ht="16.672500000000003" hidden="1">
      <c r="E47" s="794">
        <v>17.1</v>
      </c>
      <c r="F47" s="920" cm="1" t="str">
        <f t="array" ref="F47:F47">OFFSET(G47,-1,-1)</f>
        <v>0</v>
      </c>
      <c r="T47" s="805" cm="1" t="str">
        <f t="array" ref="T47:T47">T46</f>
        <v>false</v>
      </c>
      <c r="AB47" s="311" t="s">
        <v>1630</v>
      </c>
      <c r="AC47" s="313" t="s">
        <v>2042</v>
      </c>
      <c r="AD47" s="309" t="s">
        <v>799</v>
      </c>
      <c r="AE47" s="99"/>
      <c r="AF47" s="99"/>
      <c r="AG47" s="99"/>
      <c r="AH47" s="99"/>
      <c r="AI47" s="308"/>
      <c r="AJ47" s="1835"/>
      <c r="AK47" s="1835"/>
      <c r="AL47" s="99"/>
      <c r="AM47" s="99"/>
      <c r="AN47" s="99"/>
      <c r="AO47" s="99"/>
      <c r="AP47" s="99"/>
      <c r="AQ47" s="99"/>
      <c r="AR47" s="99"/>
      <c r="AS47" s="308"/>
      <c r="AT47" s="1835"/>
      <c r="AU47" s="1835"/>
      <c r="AV47" s="99"/>
      <c r="AW47" s="99"/>
      <c r="AX47" s="99"/>
      <c r="AY47" s="99"/>
      <c r="AZ47" s="99"/>
      <c r="BA47" s="99"/>
      <c r="BB47" s="99"/>
      <c r="BC47" s="74"/>
      <c r="BF47" s="1182" t="s">
        <v>2043</v>
      </c>
    </row>
    <row customHeight="1" ht="16.672500000000003" hidden="1">
      <c r="E48" s="794">
        <v>17.1</v>
      </c>
      <c r="F48" s="920" cm="1" t="str">
        <f t="array" ref="F48:F48">OFFSET(G48,-1,-1)</f>
        <v>0</v>
      </c>
      <c r="T48" s="805" cm="1" t="str">
        <f t="array" ref="T48:T48">T47</f>
        <v>false</v>
      </c>
      <c r="AB48" s="311" t="s">
        <v>623</v>
      </c>
      <c r="AC48" s="313" t="s">
        <v>2044</v>
      </c>
      <c r="AD48" s="309" t="s">
        <v>799</v>
      </c>
      <c r="AE48" s="99"/>
      <c r="AF48" s="99"/>
      <c r="AG48" s="99"/>
      <c r="AH48" s="99"/>
      <c r="AI48" s="308"/>
      <c r="AJ48" s="1835"/>
      <c r="AK48" s="1835"/>
      <c r="AL48" s="99"/>
      <c r="AM48" s="99"/>
      <c r="AN48" s="99"/>
      <c r="AO48" s="99"/>
      <c r="AP48" s="99"/>
      <c r="AQ48" s="99"/>
      <c r="AR48" s="99"/>
      <c r="AS48" s="308"/>
      <c r="AT48" s="1835"/>
      <c r="AU48" s="1835"/>
      <c r="AV48" s="99"/>
      <c r="AW48" s="99"/>
      <c r="AX48" s="99"/>
      <c r="AY48" s="99"/>
      <c r="AZ48" s="99"/>
      <c r="BA48" s="99"/>
      <c r="BB48" s="99"/>
      <c r="BC48" s="74"/>
      <c r="BF48" s="1182" t="s">
        <v>2045</v>
      </c>
    </row>
    <row s="1642"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услуги по передаче тепловой энергии, теплоносителя (Не определено)</v>
      </c>
      <c r="W49" s="1437"/>
      <c r="X49" s="172" t="s">
        <v>337</v>
      </c>
      <c r="Y49" s="1437"/>
      <c r="Z49" s="1437"/>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44"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2016</v>
      </c>
      <c r="AD50" s="315" t="s">
        <v>799</v>
      </c>
      <c r="AE50" s="306">
        <f>AE51+AE60+AE64+AE68+AE59</f>
        <v>3750</v>
      </c>
      <c r="AF50" s="306">
        <f>AF51+AF60+AF64+AF68+AF59</f>
        <v>3750</v>
      </c>
      <c r="AG50" s="306">
        <f>AG51+AG60+AG64+AG68+AG59</f>
        <v>6500</v>
      </c>
      <c r="AH50" s="306">
        <f>AH51+AH60+AH64+AH68+AH59</f>
        <v>6500</v>
      </c>
      <c r="AI50" s="306">
        <f>AI51+AI60+AI64+AI68+AI59</f>
        <v>8827.74</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8827.74</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92"/>
      <c r="BD50" s="316"/>
      <c r="BE50" s="316"/>
      <c r="BF50" s="1182" t="s">
        <v>587</v>
      </c>
    </row>
    <row s="1642"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2017</v>
      </c>
      <c r="AD51" s="309" t="s">
        <v>799</v>
      </c>
      <c r="AE51" s="307">
        <f>AE52+AE53+AE54+AE57+AE58</f>
        <v>3750</v>
      </c>
      <c r="AF51" s="307">
        <f>AF52+AF53+AF54+AF57+AF58</f>
        <v>3750</v>
      </c>
      <c r="AG51" s="307">
        <f>AG52+AG53+AG54+AG57+AG58</f>
        <v>6500</v>
      </c>
      <c r="AH51" s="307">
        <f>AH52+AH53+AH54+AH57+AH58</f>
        <v>6500</v>
      </c>
      <c r="AI51" s="307">
        <f>AI52+AI53+AI54+AI57+AI58</f>
        <v>8827.74</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8827.74</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92"/>
      <c r="BD51" s="217"/>
      <c r="BE51" s="217"/>
      <c r="BF51" s="1182" t="s">
        <v>600</v>
      </c>
    </row>
    <row s="1642"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436</v>
      </c>
      <c r="AC52" s="312" t="s">
        <v>2018</v>
      </c>
      <c r="AD52" s="309" t="s">
        <v>799</v>
      </c>
      <c r="AE52" s="1860">
        <v>2250.23</v>
      </c>
      <c r="AF52" s="1860">
        <v>2250.23</v>
      </c>
      <c r="AG52" s="1860">
        <v>2247.6</v>
      </c>
      <c r="AH52" s="1860">
        <v>2247.6</v>
      </c>
      <c r="AI52" s="308">
        <v>2238.53</v>
      </c>
      <c r="AJ52" s="1835"/>
      <c r="AK52" s="1835"/>
      <c r="AL52" s="1860"/>
      <c r="AM52" s="1860"/>
      <c r="AN52" s="1860"/>
      <c r="AO52" s="1860"/>
      <c r="AP52" s="1860"/>
      <c r="AQ52" s="1860"/>
      <c r="AR52" s="1860"/>
      <c r="AS52" s="308">
        <v>2238.53</v>
      </c>
      <c r="AT52" s="1835"/>
      <c r="AU52" s="1835"/>
      <c r="AV52" s="1860"/>
      <c r="AW52" s="1860"/>
      <c r="AX52" s="1860"/>
      <c r="AY52" s="1860"/>
      <c r="AZ52" s="1860"/>
      <c r="BA52" s="1860"/>
      <c r="BB52" s="1860"/>
      <c r="BC52" s="1792"/>
      <c r="BD52" s="217"/>
      <c r="BE52" s="217"/>
      <c r="BF52" s="1182" t="s">
        <v>1338</v>
      </c>
    </row>
    <row s="1642"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899</v>
      </c>
      <c r="AC53" s="312" t="s">
        <v>2019</v>
      </c>
      <c r="AD53" s="309" t="s">
        <v>799</v>
      </c>
      <c r="AE53" s="1860">
        <v>1499.77</v>
      </c>
      <c r="AF53" s="1860">
        <v>1499.77</v>
      </c>
      <c r="AG53" s="1860">
        <v>4252.4</v>
      </c>
      <c r="AH53" s="1860">
        <v>4252.4</v>
      </c>
      <c r="AI53" s="308">
        <v>6589.21</v>
      </c>
      <c r="AJ53" s="1835"/>
      <c r="AK53" s="1835"/>
      <c r="AL53" s="1860"/>
      <c r="AM53" s="1860"/>
      <c r="AN53" s="1860"/>
      <c r="AO53" s="1860"/>
      <c r="AP53" s="1860"/>
      <c r="AQ53" s="1860"/>
      <c r="AR53" s="1860"/>
      <c r="AS53" s="308">
        <v>6589.21</v>
      </c>
      <c r="AT53" s="1835"/>
      <c r="AU53" s="1835"/>
      <c r="AV53" s="1860"/>
      <c r="AW53" s="1860"/>
      <c r="AX53" s="1860"/>
      <c r="AY53" s="1860"/>
      <c r="AZ53" s="1860"/>
      <c r="BA53" s="1860"/>
      <c r="BB53" s="1860"/>
      <c r="BC53" s="1792"/>
      <c r="BD53" s="217"/>
      <c r="BE53" s="217"/>
      <c r="BF53" s="1182" t="s">
        <v>2020</v>
      </c>
    </row>
    <row s="1642"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901</v>
      </c>
      <c r="AC54" s="312" t="s">
        <v>2021</v>
      </c>
      <c r="AD54" s="309" t="s">
        <v>799</v>
      </c>
      <c r="AE54" s="1860"/>
      <c r="AF54" s="1860"/>
      <c r="AG54" s="1860"/>
      <c r="AH54" s="1860"/>
      <c r="AI54" s="308"/>
      <c r="AJ54" s="1835"/>
      <c r="AK54" s="1835"/>
      <c r="AL54" s="1860"/>
      <c r="AM54" s="1860"/>
      <c r="AN54" s="1860"/>
      <c r="AO54" s="1860"/>
      <c r="AP54" s="1860"/>
      <c r="AQ54" s="1860"/>
      <c r="AR54" s="1860"/>
      <c r="AS54" s="308"/>
      <c r="AT54" s="1835"/>
      <c r="AU54" s="1835"/>
      <c r="AV54" s="1860"/>
      <c r="AW54" s="1860"/>
      <c r="AX54" s="1860"/>
      <c r="AY54" s="1860"/>
      <c r="AZ54" s="1860"/>
      <c r="BA54" s="1860"/>
      <c r="BB54" s="1860"/>
      <c r="BC54" s="1792"/>
      <c r="BD54" s="217"/>
      <c r="BE54" s="217"/>
      <c r="BF54" s="1182" t="s">
        <v>1346</v>
      </c>
    </row>
    <row s="1642"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1132</v>
      </c>
      <c r="AC55" s="312" t="s">
        <v>2022</v>
      </c>
      <c r="AD55" s="309" t="s">
        <v>799</v>
      </c>
      <c r="AE55" s="1860"/>
      <c r="AF55" s="1860"/>
      <c r="AG55" s="1860"/>
      <c r="AH55" s="1860"/>
      <c r="AI55" s="308"/>
      <c r="AJ55" s="1835"/>
      <c r="AK55" s="1835"/>
      <c r="AL55" s="1860"/>
      <c r="AM55" s="1860"/>
      <c r="AN55" s="1860"/>
      <c r="AO55" s="1860"/>
      <c r="AP55" s="1860"/>
      <c r="AQ55" s="1860"/>
      <c r="AR55" s="1860"/>
      <c r="AS55" s="308"/>
      <c r="AT55" s="1835"/>
      <c r="AU55" s="1835"/>
      <c r="AV55" s="1860"/>
      <c r="AW55" s="1860"/>
      <c r="AX55" s="1860"/>
      <c r="AY55" s="1860"/>
      <c r="AZ55" s="1860"/>
      <c r="BA55" s="1860"/>
      <c r="BB55" s="1860"/>
      <c r="BC55" s="1792"/>
      <c r="BD55" s="217"/>
      <c r="BE55" s="217"/>
      <c r="BF55" s="1182" t="s">
        <v>2023</v>
      </c>
    </row>
    <row s="1642"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1136</v>
      </c>
      <c r="AC56" s="312" t="s">
        <v>2024</v>
      </c>
      <c r="AD56" s="309" t="s">
        <v>799</v>
      </c>
      <c r="AE56" s="1860"/>
      <c r="AF56" s="1860"/>
      <c r="AG56" s="1860"/>
      <c r="AH56" s="1860"/>
      <c r="AI56" s="308"/>
      <c r="AJ56" s="1835"/>
      <c r="AK56" s="1835"/>
      <c r="AL56" s="1860"/>
      <c r="AM56" s="1860"/>
      <c r="AN56" s="1860"/>
      <c r="AO56" s="1860"/>
      <c r="AP56" s="1860"/>
      <c r="AQ56" s="1860"/>
      <c r="AR56" s="1860"/>
      <c r="AS56" s="308"/>
      <c r="AT56" s="1835"/>
      <c r="AU56" s="1835"/>
      <c r="AV56" s="1860"/>
      <c r="AW56" s="1860"/>
      <c r="AX56" s="1860"/>
      <c r="AY56" s="1860"/>
      <c r="AZ56" s="1860"/>
      <c r="BA56" s="1860"/>
      <c r="BB56" s="1860"/>
      <c r="BC56" s="1792"/>
      <c r="BD56" s="217"/>
      <c r="BE56" s="217"/>
      <c r="BF56" s="1182" t="s">
        <v>2025</v>
      </c>
    </row>
    <row s="1642"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905</v>
      </c>
      <c r="AC57" s="312" t="s">
        <v>2026</v>
      </c>
      <c r="AD57" s="309" t="s">
        <v>799</v>
      </c>
      <c r="AE57" s="1860"/>
      <c r="AF57" s="1860"/>
      <c r="AG57" s="1860"/>
      <c r="AH57" s="1860"/>
      <c r="AI57" s="308"/>
      <c r="AJ57" s="1835"/>
      <c r="AK57" s="1835"/>
      <c r="AL57" s="1860"/>
      <c r="AM57" s="1860"/>
      <c r="AN57" s="1860"/>
      <c r="AO57" s="1860"/>
      <c r="AP57" s="1860"/>
      <c r="AQ57" s="1860"/>
      <c r="AR57" s="1860"/>
      <c r="AS57" s="308"/>
      <c r="AT57" s="1835"/>
      <c r="AU57" s="1835"/>
      <c r="AV57" s="1860"/>
      <c r="AW57" s="1860"/>
      <c r="AX57" s="1860"/>
      <c r="AY57" s="1860"/>
      <c r="AZ57" s="1860"/>
      <c r="BA57" s="1860"/>
      <c r="BB57" s="1860"/>
      <c r="BC57" s="1792"/>
      <c r="BD57" s="217"/>
      <c r="BE57" s="217"/>
      <c r="BF57" s="1182" t="s">
        <v>2027</v>
      </c>
    </row>
    <row s="1642"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1009</v>
      </c>
      <c r="AC58" s="312" t="s">
        <v>2028</v>
      </c>
      <c r="AD58" s="309" t="s">
        <v>799</v>
      </c>
      <c r="AE58" s="1860"/>
      <c r="AF58" s="1860"/>
      <c r="AG58" s="1860"/>
      <c r="AH58" s="1860"/>
      <c r="AI58" s="308"/>
      <c r="AJ58" s="1835"/>
      <c r="AK58" s="1835"/>
      <c r="AL58" s="1860"/>
      <c r="AM58" s="1860"/>
      <c r="AN58" s="1860"/>
      <c r="AO58" s="1860"/>
      <c r="AP58" s="1860"/>
      <c r="AQ58" s="1860"/>
      <c r="AR58" s="1860"/>
      <c r="AS58" s="308"/>
      <c r="AT58" s="1835"/>
      <c r="AU58" s="1835"/>
      <c r="AV58" s="1860"/>
      <c r="AW58" s="1860"/>
      <c r="AX58" s="1860"/>
      <c r="AY58" s="1860"/>
      <c r="AZ58" s="1860"/>
      <c r="BA58" s="1860"/>
      <c r="BB58" s="1860"/>
      <c r="BC58" s="1792"/>
      <c r="BD58" s="217"/>
      <c r="BE58" s="217"/>
      <c r="BF58" s="1182" t="s">
        <v>1130</v>
      </c>
    </row>
    <row s="1642"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440</v>
      </c>
      <c r="AC59" s="312" t="s">
        <v>2029</v>
      </c>
      <c r="AD59" s="309" t="s">
        <v>799</v>
      </c>
      <c r="AE59" s="1860"/>
      <c r="AF59" s="1860"/>
      <c r="AG59" s="1860"/>
      <c r="AH59" s="1860"/>
      <c r="AI59" s="308"/>
      <c r="AJ59" s="1835"/>
      <c r="AK59" s="1835"/>
      <c r="AL59" s="1860"/>
      <c r="AM59" s="1860"/>
      <c r="AN59" s="1860"/>
      <c r="AO59" s="1860"/>
      <c r="AP59" s="1860"/>
      <c r="AQ59" s="1860"/>
      <c r="AR59" s="1860"/>
      <c r="AS59" s="308"/>
      <c r="AT59" s="1835"/>
      <c r="AU59" s="1835"/>
      <c r="AV59" s="1860"/>
      <c r="AW59" s="1860"/>
      <c r="AX59" s="1860"/>
      <c r="AY59" s="1860"/>
      <c r="AZ59" s="1860"/>
      <c r="BA59" s="1860"/>
      <c r="BB59" s="1860"/>
      <c r="BC59" s="1792"/>
      <c r="BD59" s="217"/>
      <c r="BE59" s="217"/>
      <c r="BF59" s="1182" t="s">
        <v>1233</v>
      </c>
    </row>
    <row s="1642"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608</v>
      </c>
      <c r="AC60" s="312" t="s">
        <v>2030</v>
      </c>
      <c r="AD60" s="309" t="s">
        <v>799</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92"/>
      <c r="BD60" s="217"/>
      <c r="BE60" s="217"/>
      <c r="BF60" s="1182" t="s">
        <v>2031</v>
      </c>
    </row>
    <row s="1642"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704</v>
      </c>
      <c r="AC61" s="313" t="s">
        <v>2032</v>
      </c>
      <c r="AD61" s="309" t="s">
        <v>799</v>
      </c>
      <c r="AE61" s="1860"/>
      <c r="AF61" s="1860"/>
      <c r="AG61" s="1860"/>
      <c r="AH61" s="1860"/>
      <c r="AI61" s="308"/>
      <c r="AJ61" s="1835"/>
      <c r="AK61" s="1835"/>
      <c r="AL61" s="1860"/>
      <c r="AM61" s="1860"/>
      <c r="AN61" s="1860"/>
      <c r="AO61" s="1860"/>
      <c r="AP61" s="1860"/>
      <c r="AQ61" s="1860"/>
      <c r="AR61" s="1860"/>
      <c r="AS61" s="308"/>
      <c r="AT61" s="1835"/>
      <c r="AU61" s="1835"/>
      <c r="AV61" s="1860"/>
      <c r="AW61" s="1860"/>
      <c r="AX61" s="1860"/>
      <c r="AY61" s="1860"/>
      <c r="AZ61" s="1860"/>
      <c r="BA61" s="1860"/>
      <c r="BB61" s="1860"/>
      <c r="BC61" s="1792"/>
      <c r="BD61" s="217"/>
      <c r="BE61" s="217"/>
      <c r="BF61" s="1182" t="s">
        <v>1340</v>
      </c>
    </row>
    <row s="1642"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707</v>
      </c>
      <c r="AC62" s="313" t="s">
        <v>2033</v>
      </c>
      <c r="AD62" s="309" t="s">
        <v>799</v>
      </c>
      <c r="AE62" s="1860"/>
      <c r="AF62" s="1860"/>
      <c r="AG62" s="1860"/>
      <c r="AH62" s="1860"/>
      <c r="AI62" s="308"/>
      <c r="AJ62" s="1835"/>
      <c r="AK62" s="1835"/>
      <c r="AL62" s="1860"/>
      <c r="AM62" s="1860"/>
      <c r="AN62" s="1860"/>
      <c r="AO62" s="1860"/>
      <c r="AP62" s="1860"/>
      <c r="AQ62" s="1860"/>
      <c r="AR62" s="1860"/>
      <c r="AS62" s="308"/>
      <c r="AT62" s="1835"/>
      <c r="AU62" s="1835"/>
      <c r="AV62" s="1860"/>
      <c r="AW62" s="1860"/>
      <c r="AX62" s="1860"/>
      <c r="AY62" s="1860"/>
      <c r="AZ62" s="1860"/>
      <c r="BA62" s="1860"/>
      <c r="BB62" s="1860"/>
      <c r="BC62" s="1792"/>
      <c r="BD62" s="217"/>
      <c r="BE62" s="217"/>
      <c r="BF62" s="1182" t="s">
        <v>2034</v>
      </c>
    </row>
    <row s="1642"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1875</v>
      </c>
      <c r="AC63" s="313" t="s">
        <v>2035</v>
      </c>
      <c r="AD63" s="309" t="s">
        <v>799</v>
      </c>
      <c r="AE63" s="1860"/>
      <c r="AF63" s="1860"/>
      <c r="AG63" s="1860"/>
      <c r="AH63" s="1860"/>
      <c r="AI63" s="308"/>
      <c r="AJ63" s="1835"/>
      <c r="AK63" s="1835"/>
      <c r="AL63" s="1860"/>
      <c r="AM63" s="1860"/>
      <c r="AN63" s="1860"/>
      <c r="AO63" s="1860"/>
      <c r="AP63" s="1860"/>
      <c r="AQ63" s="1860"/>
      <c r="AR63" s="1860"/>
      <c r="AS63" s="308"/>
      <c r="AT63" s="1835"/>
      <c r="AU63" s="1835"/>
      <c r="AV63" s="1860"/>
      <c r="AW63" s="1860"/>
      <c r="AX63" s="1860"/>
      <c r="AY63" s="1860"/>
      <c r="AZ63" s="1860"/>
      <c r="BA63" s="1860"/>
      <c r="BB63" s="1860"/>
      <c r="BC63" s="1792"/>
      <c r="BD63" s="217"/>
      <c r="BE63" s="217"/>
      <c r="BF63" s="1182" t="s">
        <v>2036</v>
      </c>
    </row>
    <row s="1642"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618</v>
      </c>
      <c r="AC64" s="312" t="s">
        <v>2037</v>
      </c>
      <c r="AD64" s="309" t="s">
        <v>799</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92"/>
      <c r="BD64" s="217"/>
      <c r="BE64" s="217"/>
      <c r="BF64" s="1182" t="s">
        <v>1759</v>
      </c>
    </row>
    <row s="1642"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740</v>
      </c>
      <c r="AC65" s="313" t="s">
        <v>2038</v>
      </c>
      <c r="AD65" s="309" t="s">
        <v>799</v>
      </c>
      <c r="AE65" s="1860"/>
      <c r="AF65" s="1860"/>
      <c r="AG65" s="1860"/>
      <c r="AH65" s="1860"/>
      <c r="AI65" s="308"/>
      <c r="AJ65" s="1835"/>
      <c r="AK65" s="1835"/>
      <c r="AL65" s="1860"/>
      <c r="AM65" s="1860"/>
      <c r="AN65" s="1860"/>
      <c r="AO65" s="1860"/>
      <c r="AP65" s="1860"/>
      <c r="AQ65" s="1860"/>
      <c r="AR65" s="1860"/>
      <c r="AS65" s="308"/>
      <c r="AT65" s="1835"/>
      <c r="AU65" s="1835"/>
      <c r="AV65" s="1860"/>
      <c r="AW65" s="1860"/>
      <c r="AX65" s="1860"/>
      <c r="AY65" s="1860"/>
      <c r="AZ65" s="1860"/>
      <c r="BA65" s="1860"/>
      <c r="BB65" s="1860"/>
      <c r="BC65" s="1792"/>
      <c r="BD65" s="217"/>
      <c r="BE65" s="217"/>
      <c r="BF65" s="1182" t="s">
        <v>2039</v>
      </c>
    </row>
    <row s="1642"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1575</v>
      </c>
      <c r="AC66" s="313" t="s">
        <v>2040</v>
      </c>
      <c r="AD66" s="309" t="s">
        <v>799</v>
      </c>
      <c r="AE66" s="1860"/>
      <c r="AF66" s="1860"/>
      <c r="AG66" s="1860"/>
      <c r="AH66" s="1860"/>
      <c r="AI66" s="308"/>
      <c r="AJ66" s="1835"/>
      <c r="AK66" s="1835"/>
      <c r="AL66" s="1860"/>
      <c r="AM66" s="1860"/>
      <c r="AN66" s="1860"/>
      <c r="AO66" s="1860"/>
      <c r="AP66" s="1860"/>
      <c r="AQ66" s="1860"/>
      <c r="AR66" s="1860"/>
      <c r="AS66" s="308"/>
      <c r="AT66" s="1835"/>
      <c r="AU66" s="1835"/>
      <c r="AV66" s="1860"/>
      <c r="AW66" s="1860"/>
      <c r="AX66" s="1860"/>
      <c r="AY66" s="1860"/>
      <c r="AZ66" s="1860"/>
      <c r="BA66" s="1860"/>
      <c r="BB66" s="1860"/>
      <c r="BC66" s="1792"/>
      <c r="BD66" s="217"/>
      <c r="BE66" s="217"/>
      <c r="BF66" s="1182" t="s">
        <v>2041</v>
      </c>
    </row>
    <row s="1642"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1630</v>
      </c>
      <c r="AC67" s="313" t="s">
        <v>2042</v>
      </c>
      <c r="AD67" s="309" t="s">
        <v>799</v>
      </c>
      <c r="AE67" s="1860"/>
      <c r="AF67" s="1860"/>
      <c r="AG67" s="1860"/>
      <c r="AH67" s="1860"/>
      <c r="AI67" s="308"/>
      <c r="AJ67" s="1835"/>
      <c r="AK67" s="1835"/>
      <c r="AL67" s="1860"/>
      <c r="AM67" s="1860"/>
      <c r="AN67" s="1860"/>
      <c r="AO67" s="1860"/>
      <c r="AP67" s="1860"/>
      <c r="AQ67" s="1860"/>
      <c r="AR67" s="1860"/>
      <c r="AS67" s="308"/>
      <c r="AT67" s="1835"/>
      <c r="AU67" s="1835"/>
      <c r="AV67" s="1860"/>
      <c r="AW67" s="1860"/>
      <c r="AX67" s="1860"/>
      <c r="AY67" s="1860"/>
      <c r="AZ67" s="1860"/>
      <c r="BA67" s="1860"/>
      <c r="BB67" s="1860"/>
      <c r="BC67" s="1792"/>
      <c r="BD67" s="217"/>
      <c r="BE67" s="217"/>
      <c r="BF67" s="1182" t="s">
        <v>2043</v>
      </c>
    </row>
    <row s="1642"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623</v>
      </c>
      <c r="AC68" s="313" t="s">
        <v>2044</v>
      </c>
      <c r="AD68" s="309" t="s">
        <v>799</v>
      </c>
      <c r="AE68" s="1860"/>
      <c r="AF68" s="1860"/>
      <c r="AG68" s="1860"/>
      <c r="AH68" s="1860"/>
      <c r="AI68" s="308"/>
      <c r="AJ68" s="1835"/>
      <c r="AK68" s="1835"/>
      <c r="AL68" s="1860"/>
      <c r="AM68" s="1860"/>
      <c r="AN68" s="1860"/>
      <c r="AO68" s="1860"/>
      <c r="AP68" s="1860"/>
      <c r="AQ68" s="1860"/>
      <c r="AR68" s="1860"/>
      <c r="AS68" s="308"/>
      <c r="AT68" s="1835"/>
      <c r="AU68" s="1835"/>
      <c r="AV68" s="1860"/>
      <c r="AW68" s="1860"/>
      <c r="AX68" s="1860"/>
      <c r="AY68" s="1860"/>
      <c r="AZ68" s="1860"/>
      <c r="BA68" s="1860"/>
      <c r="BB68" s="1860"/>
      <c r="BC68" s="1792"/>
      <c r="BD68" s="217"/>
      <c r="BE68" s="217"/>
      <c r="BF68" s="1182" t="s">
        <v>2045</v>
      </c>
    </row>
    <row customHeight="1" ht="11.700000000000001">
      <c r="E69" s="794">
        <v>12</v>
      </c>
      <c r="U69" s="176" t="s">
        <v>237</v>
      </c>
      <c r="V69" s="168" t="s">
        <v>2046</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7" t="s">
        <v>694</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38"/>
      <c r="AK72" s="1938"/>
      <c r="AL72" s="1938"/>
      <c r="AM72" s="1938"/>
      <c r="AN72" s="1938"/>
      <c r="AO72" s="1938"/>
      <c r="AP72" s="1938"/>
      <c r="AQ72" s="1938"/>
      <c r="AR72" s="1938"/>
      <c r="AS72" s="1521"/>
      <c r="AT72" s="1938"/>
      <c r="AU72" s="1938"/>
      <c r="AV72" s="1938"/>
      <c r="AW72" s="1938"/>
      <c r="AX72" s="1938"/>
      <c r="AY72" s="1938"/>
      <c r="AZ72" s="1938"/>
      <c r="BA72" s="1938"/>
      <c r="BB72" s="1938"/>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235</v>
      </c>
      <c r="X73" s="1437"/>
      <c r="Y73" s="1437"/>
      <c r="Z73" s="1437"/>
      <c r="AA73" s="915" t="s">
        <v>219</v>
      </c>
      <c r="AB73" s="1938"/>
      <c r="AC73" s="1938"/>
      <c r="AD73" s="1938"/>
      <c r="AE73" s="1938"/>
      <c r="AF73" s="1938"/>
      <c r="AG73" s="1938"/>
      <c r="AH73" s="1938"/>
      <c r="AI73" s="1521"/>
      <c r="AJ73" s="1938"/>
      <c r="AK73" s="1938"/>
      <c r="AL73" s="1938"/>
      <c r="AM73" s="1938"/>
      <c r="AN73" s="1938"/>
      <c r="AO73" s="1938"/>
      <c r="AP73" s="1938"/>
      <c r="AQ73" s="1938"/>
      <c r="AR73" s="1938"/>
      <c r="AS73" s="1521"/>
      <c r="AT73" s="1938"/>
      <c r="AU73" s="1938"/>
      <c r="AV73" s="1938"/>
      <c r="AW73" s="1938"/>
      <c r="AX73" s="1938"/>
      <c r="AY73" s="1938"/>
      <c r="AZ73" s="1938"/>
      <c r="BA73" s="1938"/>
      <c r="BB73" s="1938"/>
      <c r="BC73" s="1938"/>
      <c r="BD73" s="217"/>
      <c r="BE73" s="217"/>
      <c r="BF73" s="1217"/>
    </row>
    <row customHeight="1" ht="14.625">
      <c r="E74" s="794">
        <v>15</v>
      </c>
      <c r="W74" s="168" t="s">
        <v>236</v>
      </c>
      <c r="AA74" s="210"/>
      <c r="AB74" s="1453" t="s">
        <v>695</v>
      </c>
      <c r="AC74" s="1454"/>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62FD79-8EFC-D818-C098-8A6E0D66411B}"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82"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83" width="8.57421875" hidden="1" customWidth="1"/>
    <col min="184" max="184" style="2084" width="8.57421875" hidden="1" customWidth="1"/>
    <col min="185" max="185" style="2085" width="8.57421875" hidden="1" customWidth="1"/>
    <col min="186" max="186" style="2086" width="8.57421875" hidden="1" customWidth="1"/>
  </cols>
  <sheetData>
    <row s="1437" customFormat="1" customHeight="1" ht="12" hidden="1">
      <c r="B1" s="785"/>
      <c r="C1" s="1323" t="s">
        <v>84</v>
      </c>
      <c r="D1" s="1292" t="s">
        <v>85</v>
      </c>
      <c r="E1" s="785"/>
      <c r="F1" s="816" t="s">
        <v>83</v>
      </c>
      <c r="G1" s="210"/>
      <c r="H1" s="210"/>
      <c r="I1" s="210"/>
      <c r="J1" s="1297" t="s">
        <v>2047</v>
      </c>
      <c r="K1" s="1297" t="s">
        <v>1534</v>
      </c>
      <c r="L1" s="1297" t="s">
        <v>2048</v>
      </c>
      <c r="M1" s="1297" t="s">
        <v>1535</v>
      </c>
      <c r="N1" s="1297" t="s">
        <v>2049</v>
      </c>
      <c r="O1" s="1297" t="s">
        <v>1964</v>
      </c>
      <c r="P1" s="1297" t="s">
        <v>2050</v>
      </c>
      <c r="Q1" s="1315" t="s">
        <v>94</v>
      </c>
      <c r="R1" s="736"/>
      <c r="S1" s="210"/>
      <c r="T1" s="805" t="s">
        <v>86</v>
      </c>
      <c r="U1" s="805" t="s">
        <v>91</v>
      </c>
      <c r="V1" s="805" t="s">
        <v>87</v>
      </c>
      <c r="W1" s="805" t="s">
        <v>88</v>
      </c>
      <c r="X1" s="805" t="s">
        <v>89</v>
      </c>
      <c r="Y1" s="816" t="s">
        <v>371</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372</v>
      </c>
      <c r="GA1" s="1217" t="s">
        <v>373</v>
      </c>
      <c r="GB1" s="1217" t="s">
        <v>374</v>
      </c>
      <c r="GC1" s="1217" t="s">
        <v>377</v>
      </c>
      <c r="GD1" s="1217" t="s">
        <v>378</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424</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425</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1539</v>
      </c>
      <c r="AE11" s="1271" t="s">
        <v>1539</v>
      </c>
      <c r="AF11" s="1271" t="s">
        <v>1539</v>
      </c>
      <c r="AG11" s="1271" t="s">
        <v>1539</v>
      </c>
      <c r="AH11" s="1271" t="s">
        <v>1539</v>
      </c>
      <c r="AI11" s="1271" t="s">
        <v>1539</v>
      </c>
      <c r="AJ11" s="1271" t="s">
        <v>1539</v>
      </c>
      <c r="AK11" s="1271" t="s">
        <v>1539</v>
      </c>
      <c r="AL11" s="1271" t="s">
        <v>1539</v>
      </c>
      <c r="AM11" s="1271" t="s">
        <v>1539</v>
      </c>
      <c r="AN11" s="1271" t="s">
        <v>1539</v>
      </c>
      <c r="AO11" s="1271" t="s">
        <v>1539</v>
      </c>
      <c r="AP11" s="1271" t="s">
        <v>1539</v>
      </c>
      <c r="AQ11" s="1271" t="s">
        <v>1539</v>
      </c>
      <c r="AR11" s="1271" t="s">
        <v>1539</v>
      </c>
      <c r="AS11" s="1271" t="s">
        <v>1539</v>
      </c>
      <c r="AT11" s="1271" t="s">
        <v>1539</v>
      </c>
      <c r="AU11" s="1271" t="s">
        <v>1539</v>
      </c>
      <c r="AV11" s="1271" t="s">
        <v>1539</v>
      </c>
      <c r="AW11" s="1271" t="s">
        <v>1539</v>
      </c>
      <c r="AX11" s="1271" t="s">
        <v>1539</v>
      </c>
      <c r="AY11" s="1271" t="s">
        <v>1539</v>
      </c>
      <c r="AZ11" s="1271" t="s">
        <v>1539</v>
      </c>
      <c r="BA11" s="1271" t="s">
        <v>1539</v>
      </c>
      <c r="BB11" s="1271" t="s">
        <v>1539</v>
      </c>
      <c r="BC11" s="1271" t="s">
        <v>1539</v>
      </c>
      <c r="BD11" s="1271" t="s">
        <v>1539</v>
      </c>
      <c r="BE11" s="1271" t="s">
        <v>1539</v>
      </c>
      <c r="BF11" s="1271" t="s">
        <v>1539</v>
      </c>
      <c r="BG11" s="1271" t="s">
        <v>1539</v>
      </c>
      <c r="BH11" s="1271" t="s">
        <v>1539</v>
      </c>
      <c r="BI11" s="1271" t="s">
        <v>1539</v>
      </c>
      <c r="BJ11" s="1271" t="s">
        <v>1539</v>
      </c>
      <c r="BK11" s="1271" t="s">
        <v>1539</v>
      </c>
      <c r="BL11" s="1271" t="s">
        <v>1539</v>
      </c>
      <c r="BM11" s="1271" t="s">
        <v>1539</v>
      </c>
      <c r="BN11" s="1271" t="s">
        <v>1539</v>
      </c>
      <c r="BO11" s="1271" t="s">
        <v>1539</v>
      </c>
      <c r="BP11" s="1271" t="s">
        <v>1539</v>
      </c>
      <c r="BQ11" s="1271" t="s">
        <v>1539</v>
      </c>
      <c r="BR11" s="1271" t="s">
        <v>1539</v>
      </c>
      <c r="BS11" s="1271" t="s">
        <v>1539</v>
      </c>
      <c r="BT11" s="1271" t="s">
        <v>1539</v>
      </c>
      <c r="BU11" s="1271" t="s">
        <v>1539</v>
      </c>
      <c r="BV11" s="1271" t="s">
        <v>1539</v>
      </c>
      <c r="BW11" s="1271" t="s">
        <v>1539</v>
      </c>
      <c r="BX11" s="1271" t="s">
        <v>1539</v>
      </c>
      <c r="BY11" s="1271" t="s">
        <v>1539</v>
      </c>
      <c r="BZ11" s="1271" t="s">
        <v>1539</v>
      </c>
      <c r="CA11" s="1271" t="s">
        <v>1539</v>
      </c>
      <c r="CB11" s="1271" t="s">
        <v>1539</v>
      </c>
      <c r="CC11" s="1271" t="s">
        <v>1539</v>
      </c>
      <c r="CD11" s="1271" t="s">
        <v>1539</v>
      </c>
      <c r="CE11" s="1271" t="s">
        <v>1539</v>
      </c>
      <c r="CF11" s="1271" t="s">
        <v>1539</v>
      </c>
      <c r="CG11" s="1271" t="s">
        <v>1539</v>
      </c>
      <c r="CH11" s="1271" t="s">
        <v>1539</v>
      </c>
      <c r="CI11" s="1271" t="s">
        <v>1539</v>
      </c>
      <c r="CJ11" s="1271" t="s">
        <v>1539</v>
      </c>
      <c r="CK11" s="1271" t="s">
        <v>1539</v>
      </c>
      <c r="CL11" s="1271" t="s">
        <v>1539</v>
      </c>
      <c r="CM11" s="1271" t="s">
        <v>1539</v>
      </c>
      <c r="CN11" s="1271" t="s">
        <v>1539</v>
      </c>
      <c r="CO11" s="1271" t="s">
        <v>1539</v>
      </c>
      <c r="CP11" s="1271" t="s">
        <v>1539</v>
      </c>
      <c r="CQ11" s="1271" t="s">
        <v>1539</v>
      </c>
      <c r="CR11" s="1271" t="s">
        <v>1539</v>
      </c>
      <c r="CS11" s="1271" t="s">
        <v>1539</v>
      </c>
      <c r="CT11" s="1271" t="s">
        <v>1539</v>
      </c>
      <c r="CU11" s="1271" t="s">
        <v>1539</v>
      </c>
      <c r="CV11" s="1271" t="s">
        <v>1539</v>
      </c>
      <c r="CW11" s="1271" t="s">
        <v>1539</v>
      </c>
      <c r="CX11" s="1271" t="s">
        <v>1539</v>
      </c>
      <c r="CY11" s="1271" t="s">
        <v>1539</v>
      </c>
      <c r="CZ11" s="1271" t="s">
        <v>1539</v>
      </c>
      <c r="DA11" s="1271" t="s">
        <v>1539</v>
      </c>
      <c r="DB11" s="1271" t="s">
        <v>1539</v>
      </c>
      <c r="DC11" s="1271" t="s">
        <v>1539</v>
      </c>
      <c r="DD11" s="1271" t="s">
        <v>1539</v>
      </c>
      <c r="DE11" s="1271" t="s">
        <v>1539</v>
      </c>
      <c r="DF11" s="1271" t="s">
        <v>1539</v>
      </c>
      <c r="DG11" s="1271" t="s">
        <v>1539</v>
      </c>
      <c r="DH11" s="1271" t="s">
        <v>1539</v>
      </c>
      <c r="DI11" s="1271" t="s">
        <v>1539</v>
      </c>
      <c r="DJ11" s="1271" t="s">
        <v>1539</v>
      </c>
      <c r="DK11" s="1271" t="s">
        <v>1539</v>
      </c>
      <c r="DL11" s="1271" t="s">
        <v>1539</v>
      </c>
      <c r="DM11" s="1271" t="s">
        <v>1539</v>
      </c>
      <c r="DN11" s="1271" t="s">
        <v>1539</v>
      </c>
      <c r="DO11" s="1271" t="s">
        <v>1539</v>
      </c>
      <c r="DP11" s="1271" t="s">
        <v>1539</v>
      </c>
      <c r="DQ11" s="1271" t="s">
        <v>1539</v>
      </c>
      <c r="DR11" s="1271" t="s">
        <v>1539</v>
      </c>
      <c r="DS11" s="1271" t="s">
        <v>1539</v>
      </c>
      <c r="DT11" s="1271" t="s">
        <v>1539</v>
      </c>
      <c r="DU11" s="1271" t="s">
        <v>1539</v>
      </c>
      <c r="DV11" s="1271" t="s">
        <v>1539</v>
      </c>
      <c r="DW11" s="1271" t="s">
        <v>1539</v>
      </c>
      <c r="DX11" s="1271" t="s">
        <v>1539</v>
      </c>
      <c r="DY11" s="1271" t="s">
        <v>1539</v>
      </c>
      <c r="DZ11" s="1271" t="s">
        <v>1539</v>
      </c>
      <c r="EA11" s="1271" t="s">
        <v>1539</v>
      </c>
      <c r="EB11" s="1271" t="s">
        <v>1539</v>
      </c>
      <c r="EC11" s="1271" t="s">
        <v>1539</v>
      </c>
      <c r="ED11" s="1271" t="s">
        <v>1539</v>
      </c>
      <c r="EE11" s="1271" t="s">
        <v>1539</v>
      </c>
      <c r="EF11" s="1271" t="s">
        <v>1539</v>
      </c>
      <c r="EG11" s="1271" t="s">
        <v>1539</v>
      </c>
      <c r="EH11" s="1271" t="s">
        <v>1539</v>
      </c>
      <c r="EI11" s="1271" t="s">
        <v>1539</v>
      </c>
      <c r="EJ11" s="1271" t="s">
        <v>1539</v>
      </c>
      <c r="EK11" s="1271" t="s">
        <v>1539</v>
      </c>
      <c r="EL11" s="1271" t="s">
        <v>1539</v>
      </c>
      <c r="EM11" s="1271" t="s">
        <v>1539</v>
      </c>
      <c r="EN11" s="1271" t="s">
        <v>1539</v>
      </c>
      <c r="EO11" s="1271" t="s">
        <v>1539</v>
      </c>
      <c r="EP11" s="1271" t="s">
        <v>1539</v>
      </c>
      <c r="EQ11" s="1271" t="s">
        <v>1539</v>
      </c>
      <c r="ER11" s="1271" t="s">
        <v>1539</v>
      </c>
      <c r="ES11" s="1271" t="s">
        <v>1539</v>
      </c>
      <c r="ET11" s="1271" t="s">
        <v>1539</v>
      </c>
      <c r="EU11" s="1271" t="s">
        <v>1539</v>
      </c>
      <c r="EV11" s="1271" t="s">
        <v>1539</v>
      </c>
      <c r="EW11" s="1271" t="s">
        <v>1539</v>
      </c>
      <c r="EX11" s="1271" t="s">
        <v>1539</v>
      </c>
      <c r="EY11" s="1271" t="s">
        <v>1539</v>
      </c>
      <c r="EZ11" s="1271" t="s">
        <v>1539</v>
      </c>
      <c r="FA11" s="1271" t="s">
        <v>1539</v>
      </c>
      <c r="FB11" s="1271" t="s">
        <v>1539</v>
      </c>
      <c r="FC11" s="1271" t="s">
        <v>1539</v>
      </c>
      <c r="FD11" s="1271" t="s">
        <v>1539</v>
      </c>
      <c r="FE11" s="1271" t="s">
        <v>1539</v>
      </c>
      <c r="FF11" s="1271" t="s">
        <v>1539</v>
      </c>
      <c r="FG11" s="1271" t="s">
        <v>1539</v>
      </c>
      <c r="FH11" s="1271" t="s">
        <v>1539</v>
      </c>
      <c r="FI11" s="1271" t="s">
        <v>1539</v>
      </c>
      <c r="FJ11" s="1271" t="s">
        <v>1539</v>
      </c>
      <c r="FK11" s="1271" t="s">
        <v>1539</v>
      </c>
      <c r="FL11" s="1271" t="s">
        <v>1539</v>
      </c>
      <c r="FM11" s="1271" t="s">
        <v>1539</v>
      </c>
      <c r="FN11" s="1271" t="s">
        <v>1539</v>
      </c>
      <c r="FO11" s="1271" t="s">
        <v>1539</v>
      </c>
      <c r="FP11" s="1271" t="s">
        <v>1539</v>
      </c>
      <c r="FQ11" s="1271" t="s">
        <v>1539</v>
      </c>
      <c r="FR11" s="1271" t="s">
        <v>1539</v>
      </c>
      <c r="FS11" s="1271" t="s">
        <v>1539</v>
      </c>
      <c r="FT11" s="1271" t="s">
        <v>1539</v>
      </c>
      <c r="FU11" s="1271" t="s">
        <v>1539</v>
      </c>
      <c r="FV11" s="1271" t="s">
        <v>1539</v>
      </c>
      <c r="FW11" s="1271" t="s">
        <v>1539</v>
      </c>
      <c r="FZ11" s="1311"/>
      <c r="GA11" s="1311"/>
      <c r="GB11" s="1311"/>
      <c r="GC11" s="1311"/>
      <c r="GD11" s="1311"/>
    </row>
    <row s="1280" customFormat="1" customHeight="1" ht="12" hidden="1">
      <c r="A12" s="1274" t="s">
        <v>1540</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1541</v>
      </c>
      <c r="B13" s="1256"/>
      <c r="C13" s="1325"/>
      <c r="E13" s="1256"/>
      <c r="G13" s="1297"/>
      <c r="H13" s="1297"/>
      <c r="I13" s="1297"/>
      <c r="J13" s="1297"/>
      <c r="K13" s="1297"/>
      <c r="L13" s="1297"/>
      <c r="M13" s="1297"/>
      <c r="N13" s="1297"/>
      <c r="O13" s="1297"/>
      <c r="P13" s="1297"/>
      <c r="Q13" s="1315"/>
      <c r="R13" s="1309"/>
      <c r="S13" s="1297"/>
      <c r="AB13" s="1310"/>
      <c r="AC13" s="1310"/>
      <c r="AD13" s="1271" t="s">
        <v>1543</v>
      </c>
      <c r="AE13" s="1271" t="s">
        <v>1542</v>
      </c>
      <c r="AF13" s="1271" t="s">
        <v>1544</v>
      </c>
      <c r="AG13" s="1271" t="s">
        <v>1543</v>
      </c>
      <c r="AH13" s="1271" t="s">
        <v>1542</v>
      </c>
      <c r="AI13" s="1271" t="s">
        <v>1544</v>
      </c>
      <c r="AJ13" s="1271" t="s">
        <v>1543</v>
      </c>
      <c r="AK13" s="1271" t="s">
        <v>1542</v>
      </c>
      <c r="AL13" s="1271" t="s">
        <v>1544</v>
      </c>
      <c r="AM13" s="1271" t="s">
        <v>1543</v>
      </c>
      <c r="AN13" s="1271" t="s">
        <v>1542</v>
      </c>
      <c r="AO13" s="1271" t="s">
        <v>1544</v>
      </c>
      <c r="AP13" s="1271" t="s">
        <v>1543</v>
      </c>
      <c r="AQ13" s="1271" t="s">
        <v>1542</v>
      </c>
      <c r="AR13" s="1271" t="s">
        <v>1544</v>
      </c>
      <c r="AS13" s="1271" t="s">
        <v>1543</v>
      </c>
      <c r="AT13" s="1271" t="s">
        <v>1542</v>
      </c>
      <c r="AU13" s="1271" t="s">
        <v>1544</v>
      </c>
      <c r="AV13" s="1271" t="s">
        <v>1543</v>
      </c>
      <c r="AW13" s="1271" t="s">
        <v>1542</v>
      </c>
      <c r="AX13" s="1271" t="s">
        <v>1544</v>
      </c>
      <c r="AY13" s="1271" t="s">
        <v>1543</v>
      </c>
      <c r="AZ13" s="1271" t="s">
        <v>1542</v>
      </c>
      <c r="BA13" s="1271" t="s">
        <v>1544</v>
      </c>
      <c r="BB13" s="1271" t="s">
        <v>1543</v>
      </c>
      <c r="BC13" s="1271" t="s">
        <v>1542</v>
      </c>
      <c r="BD13" s="1271" t="s">
        <v>1544</v>
      </c>
      <c r="BE13" s="1271" t="s">
        <v>1543</v>
      </c>
      <c r="BF13" s="1271" t="s">
        <v>1542</v>
      </c>
      <c r="BG13" s="1271" t="s">
        <v>1544</v>
      </c>
      <c r="BH13" s="1271" t="s">
        <v>1543</v>
      </c>
      <c r="BI13" s="1271" t="s">
        <v>1542</v>
      </c>
      <c r="BJ13" s="1271" t="s">
        <v>1544</v>
      </c>
      <c r="BK13" s="1271" t="s">
        <v>1543</v>
      </c>
      <c r="BL13" s="1271" t="s">
        <v>1542</v>
      </c>
      <c r="BM13" s="1271" t="s">
        <v>1544</v>
      </c>
      <c r="BN13" s="1271" t="s">
        <v>1543</v>
      </c>
      <c r="BO13" s="1271" t="s">
        <v>1542</v>
      </c>
      <c r="BP13" s="1271" t="s">
        <v>1544</v>
      </c>
      <c r="BQ13" s="1271" t="s">
        <v>1543</v>
      </c>
      <c r="BR13" s="1271" t="s">
        <v>1542</v>
      </c>
      <c r="BS13" s="1271" t="s">
        <v>1544</v>
      </c>
      <c r="BT13" s="1271" t="s">
        <v>1543</v>
      </c>
      <c r="BU13" s="1271" t="s">
        <v>1542</v>
      </c>
      <c r="BV13" s="1271" t="s">
        <v>1544</v>
      </c>
      <c r="BW13" s="1271" t="s">
        <v>1543</v>
      </c>
      <c r="BX13" s="1271" t="s">
        <v>1542</v>
      </c>
      <c r="BY13" s="1271" t="s">
        <v>1544</v>
      </c>
      <c r="BZ13" s="1271" t="s">
        <v>1543</v>
      </c>
      <c r="CA13" s="1271" t="s">
        <v>1542</v>
      </c>
      <c r="CB13" s="1271" t="s">
        <v>1544</v>
      </c>
      <c r="CC13" s="1271" t="s">
        <v>1543</v>
      </c>
      <c r="CD13" s="1271" t="s">
        <v>1542</v>
      </c>
      <c r="CE13" s="1271" t="s">
        <v>1544</v>
      </c>
      <c r="CF13" s="1271" t="s">
        <v>1543</v>
      </c>
      <c r="CG13" s="1271" t="s">
        <v>1542</v>
      </c>
      <c r="CH13" s="1271" t="s">
        <v>1544</v>
      </c>
      <c r="CI13" s="1271" t="s">
        <v>1543</v>
      </c>
      <c r="CJ13" s="1271" t="s">
        <v>1542</v>
      </c>
      <c r="CK13" s="1271" t="s">
        <v>1544</v>
      </c>
      <c r="CL13" s="1271" t="s">
        <v>1543</v>
      </c>
      <c r="CM13" s="1271" t="s">
        <v>1542</v>
      </c>
      <c r="CN13" s="1271" t="s">
        <v>1544</v>
      </c>
      <c r="CO13" s="1271" t="s">
        <v>1543</v>
      </c>
      <c r="CP13" s="1271" t="s">
        <v>1542</v>
      </c>
      <c r="CQ13" s="1271" t="s">
        <v>1544</v>
      </c>
      <c r="CR13" s="1271" t="s">
        <v>1543</v>
      </c>
      <c r="CS13" s="1271" t="s">
        <v>1542</v>
      </c>
      <c r="CT13" s="1271" t="s">
        <v>1544</v>
      </c>
      <c r="CU13" s="1271" t="s">
        <v>1543</v>
      </c>
      <c r="CV13" s="1271" t="s">
        <v>1542</v>
      </c>
      <c r="CW13" s="1271" t="s">
        <v>1544</v>
      </c>
      <c r="CX13" s="1271" t="s">
        <v>1543</v>
      </c>
      <c r="CY13" s="1271" t="s">
        <v>1542</v>
      </c>
      <c r="CZ13" s="1271" t="s">
        <v>1544</v>
      </c>
      <c r="DA13" s="1271" t="s">
        <v>1543</v>
      </c>
      <c r="DB13" s="1271" t="s">
        <v>1542</v>
      </c>
      <c r="DC13" s="1271" t="s">
        <v>1544</v>
      </c>
      <c r="DD13" s="1271" t="s">
        <v>1543</v>
      </c>
      <c r="DE13" s="1271" t="s">
        <v>1542</v>
      </c>
      <c r="DF13" s="1271" t="s">
        <v>1544</v>
      </c>
      <c r="DG13" s="1271" t="s">
        <v>1543</v>
      </c>
      <c r="DH13" s="1271" t="s">
        <v>1542</v>
      </c>
      <c r="DI13" s="1271" t="s">
        <v>1544</v>
      </c>
      <c r="DJ13" s="1271" t="s">
        <v>1543</v>
      </c>
      <c r="DK13" s="1271" t="s">
        <v>1542</v>
      </c>
      <c r="DL13" s="1271" t="s">
        <v>1544</v>
      </c>
      <c r="DM13" s="1271" t="s">
        <v>1543</v>
      </c>
      <c r="DN13" s="1271" t="s">
        <v>1542</v>
      </c>
      <c r="DO13" s="1271" t="s">
        <v>1544</v>
      </c>
      <c r="DP13" s="1271" t="s">
        <v>1543</v>
      </c>
      <c r="DQ13" s="1271" t="s">
        <v>1542</v>
      </c>
      <c r="DR13" s="1271" t="s">
        <v>1544</v>
      </c>
      <c r="DS13" s="1271" t="s">
        <v>1543</v>
      </c>
      <c r="DT13" s="1271" t="s">
        <v>1542</v>
      </c>
      <c r="DU13" s="1271" t="s">
        <v>1544</v>
      </c>
      <c r="DV13" s="1271" t="s">
        <v>1543</v>
      </c>
      <c r="DW13" s="1271" t="s">
        <v>1542</v>
      </c>
      <c r="DX13" s="1271" t="s">
        <v>1544</v>
      </c>
      <c r="DY13" s="1271" t="s">
        <v>1543</v>
      </c>
      <c r="DZ13" s="1271" t="s">
        <v>1542</v>
      </c>
      <c r="EA13" s="1271" t="s">
        <v>1544</v>
      </c>
      <c r="EB13" s="1271" t="s">
        <v>1543</v>
      </c>
      <c r="EC13" s="1271" t="s">
        <v>1542</v>
      </c>
      <c r="ED13" s="1271" t="s">
        <v>1544</v>
      </c>
      <c r="EE13" s="1271" t="s">
        <v>1543</v>
      </c>
      <c r="EF13" s="1271" t="s">
        <v>1542</v>
      </c>
      <c r="EG13" s="1271" t="s">
        <v>1544</v>
      </c>
      <c r="EH13" s="1271" t="s">
        <v>1543</v>
      </c>
      <c r="EI13" s="1271" t="s">
        <v>1542</v>
      </c>
      <c r="EJ13" s="1271" t="s">
        <v>1544</v>
      </c>
      <c r="EK13" s="1271" t="s">
        <v>1543</v>
      </c>
      <c r="EL13" s="1271" t="s">
        <v>1542</v>
      </c>
      <c r="EM13" s="1271" t="s">
        <v>1544</v>
      </c>
      <c r="EN13" s="1271" t="s">
        <v>1543</v>
      </c>
      <c r="EO13" s="1271" t="s">
        <v>1542</v>
      </c>
      <c r="EP13" s="1271" t="s">
        <v>1544</v>
      </c>
      <c r="EQ13" s="1271" t="s">
        <v>1543</v>
      </c>
      <c r="ER13" s="1271" t="s">
        <v>1542</v>
      </c>
      <c r="ES13" s="1271" t="s">
        <v>1544</v>
      </c>
      <c r="ET13" s="1271" t="s">
        <v>1543</v>
      </c>
      <c r="EU13" s="1271" t="s">
        <v>1542</v>
      </c>
      <c r="EV13" s="1271" t="s">
        <v>1544</v>
      </c>
      <c r="EW13" s="1271" t="s">
        <v>1543</v>
      </c>
      <c r="EX13" s="1271" t="s">
        <v>1542</v>
      </c>
      <c r="EY13" s="1271" t="s">
        <v>1544</v>
      </c>
      <c r="EZ13" s="1271" t="s">
        <v>1543</v>
      </c>
      <c r="FA13" s="1271" t="s">
        <v>1542</v>
      </c>
      <c r="FB13" s="1271" t="s">
        <v>1544</v>
      </c>
      <c r="FC13" s="1271" t="s">
        <v>1543</v>
      </c>
      <c r="FD13" s="1271" t="s">
        <v>1542</v>
      </c>
      <c r="FE13" s="1271" t="s">
        <v>1544</v>
      </c>
      <c r="FF13" s="1271" t="s">
        <v>1543</v>
      </c>
      <c r="FG13" s="1271" t="s">
        <v>1542</v>
      </c>
      <c r="FH13" s="1271" t="s">
        <v>1544</v>
      </c>
      <c r="FI13" s="1271" t="s">
        <v>1543</v>
      </c>
      <c r="FJ13" s="1271" t="s">
        <v>1542</v>
      </c>
      <c r="FK13" s="1271" t="s">
        <v>1544</v>
      </c>
      <c r="FL13" s="1271" t="s">
        <v>1543</v>
      </c>
      <c r="FM13" s="1271" t="s">
        <v>1542</v>
      </c>
      <c r="FN13" s="1271" t="s">
        <v>1544</v>
      </c>
      <c r="FO13" s="1271" t="s">
        <v>1543</v>
      </c>
      <c r="FP13" s="1271" t="s">
        <v>1542</v>
      </c>
      <c r="FQ13" s="1271" t="s">
        <v>1544</v>
      </c>
      <c r="FR13" s="1271" t="s">
        <v>1543</v>
      </c>
      <c r="FS13" s="1271" t="s">
        <v>1542</v>
      </c>
      <c r="FT13" s="1271" t="s">
        <v>1544</v>
      </c>
      <c r="FU13" s="1271" t="s">
        <v>1543</v>
      </c>
      <c r="FV13" s="1271" t="s">
        <v>1542</v>
      </c>
      <c r="FW13" s="1271" t="s">
        <v>1544</v>
      </c>
      <c r="FZ13" s="1311"/>
      <c r="GA13" s="1311"/>
      <c r="GB13" s="1311"/>
      <c r="GC13" s="1311"/>
      <c r="GD13" s="1311"/>
    </row>
    <row s="2047" customFormat="1" customHeight="1" ht="12" hidden="1">
      <c r="A14" s="1213" t="s">
        <v>383</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374</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Ульяновская область / 2026 / ООО "НИИАР-ГЕНЕРАЦИЯ" (ИНН:7329008990, КПП:732901001)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427</v>
      </c>
      <c r="AC25" s="1441" t="s">
        <v>428</v>
      </c>
      <c r="AD25" s="1443" t="str">
        <f>AD6&amp;" год"</f>
        <v>2026 год</v>
      </c>
      <c r="AE25" s="1548"/>
      <c r="AF25" s="1549"/>
      <c r="AG25" s="1443" t="str">
        <f>AG6&amp;" год"</f>
        <v>2027 год</v>
      </c>
      <c r="AH25" s="1548"/>
      <c r="AI25" s="1549"/>
      <c r="AJ25" s="1443" t="str">
        <f>AJ6&amp;" год"</f>
        <v>2028 год</v>
      </c>
      <c r="AK25" s="1548"/>
      <c r="AL25" s="1549"/>
      <c r="AM25" s="1443" t="str">
        <f>AM6&amp;" год"</f>
        <v>2029 год</v>
      </c>
      <c r="AN25" s="1548"/>
      <c r="AO25" s="1549"/>
      <c r="AP25" s="1443" t="str">
        <f>AP6&amp;" год"</f>
        <v>2030 год</v>
      </c>
      <c r="AQ25" s="1548"/>
      <c r="AR25" s="1549"/>
      <c r="AS25" s="1443" t="str">
        <f>AS6&amp;" год"</f>
        <v>2031 год</v>
      </c>
      <c r="AT25" s="1548"/>
      <c r="AU25" s="1549"/>
      <c r="AV25" s="1443" t="str">
        <f>AV6&amp;" год"</f>
        <v>2032 год</v>
      </c>
      <c r="AW25" s="1548"/>
      <c r="AX25" s="1549"/>
      <c r="AY25" s="1443" t="str">
        <f>AY6&amp;" год"</f>
        <v>2033 год</v>
      </c>
      <c r="AZ25" s="1548"/>
      <c r="BA25" s="1549"/>
      <c r="BB25" s="1443" t="str">
        <f>BB6&amp;" год"</f>
        <v>2034 год</v>
      </c>
      <c r="BC25" s="1548"/>
      <c r="BD25" s="1549"/>
      <c r="BE25" s="1443" t="str">
        <f>BE6&amp;" год"</f>
        <v>2035 год</v>
      </c>
      <c r="BF25" s="1548"/>
      <c r="BG25" s="1549"/>
      <c r="BH25" s="1443" t="str">
        <f>BH6&amp;" год"</f>
        <v>2036 год</v>
      </c>
      <c r="BI25" s="1548"/>
      <c r="BJ25" s="1549"/>
      <c r="BK25" s="1443" t="str">
        <f>BK6&amp;" год"</f>
        <v>2037 год</v>
      </c>
      <c r="BL25" s="1548"/>
      <c r="BM25" s="1549"/>
      <c r="BN25" s="1443" t="str">
        <f>BN6&amp;" год"</f>
        <v>2038 год</v>
      </c>
      <c r="BO25" s="1548"/>
      <c r="BP25" s="1549"/>
      <c r="BQ25" s="1443" t="str">
        <f>BQ6&amp;" год"</f>
        <v>2039 год</v>
      </c>
      <c r="BR25" s="1548"/>
      <c r="BS25" s="1549"/>
      <c r="BT25" s="1443" t="str">
        <f>BT6&amp;" год"</f>
        <v>2040 год</v>
      </c>
      <c r="BU25" s="1548"/>
      <c r="BV25" s="1549"/>
      <c r="BW25" s="1443" t="str">
        <f>BW6&amp;" год"</f>
        <v>2041 год</v>
      </c>
      <c r="BX25" s="1548"/>
      <c r="BY25" s="1549"/>
      <c r="BZ25" s="1443" t="str">
        <f>BZ6&amp;" год"</f>
        <v>2042 год</v>
      </c>
      <c r="CA25" s="1548"/>
      <c r="CB25" s="1549"/>
      <c r="CC25" s="1443" t="str">
        <f>CC6&amp;" год"</f>
        <v>2043 год</v>
      </c>
      <c r="CD25" s="1548"/>
      <c r="CE25" s="1549"/>
      <c r="CF25" s="1443" t="str">
        <f>CF6&amp;" год"</f>
        <v>2044 год</v>
      </c>
      <c r="CG25" s="1548"/>
      <c r="CH25" s="1549"/>
      <c r="CI25" s="1443" t="str">
        <f>CI6&amp;" год"</f>
        <v>2045 год</v>
      </c>
      <c r="CJ25" s="1548"/>
      <c r="CK25" s="1549"/>
      <c r="CL25" s="1443" t="str">
        <f>CL6&amp;" год"</f>
        <v>2046 год</v>
      </c>
      <c r="CM25" s="1548"/>
      <c r="CN25" s="1549"/>
      <c r="CO25" s="1443" t="str">
        <f>CO6&amp;" год"</f>
        <v>2047 год</v>
      </c>
      <c r="CP25" s="1548"/>
      <c r="CQ25" s="1549"/>
      <c r="CR25" s="1443" t="str">
        <f>CR6&amp;" год"</f>
        <v>2048 год</v>
      </c>
      <c r="CS25" s="1548"/>
      <c r="CT25" s="1549"/>
      <c r="CU25" s="1443" t="str">
        <f>CU6&amp;" год"</f>
        <v>2049 год</v>
      </c>
      <c r="CV25" s="1548"/>
      <c r="CW25" s="1549"/>
      <c r="CX25" s="1443" t="str">
        <f>CX6&amp;" год"</f>
        <v>2050 год</v>
      </c>
      <c r="CY25" s="1548"/>
      <c r="CZ25" s="1549"/>
      <c r="DA25" s="1443" t="str">
        <f>DA6&amp;" год"</f>
        <v>2051 год</v>
      </c>
      <c r="DB25" s="1548"/>
      <c r="DC25" s="1549"/>
      <c r="DD25" s="1443" t="str">
        <f>DD6&amp;" год"</f>
        <v>2052 год</v>
      </c>
      <c r="DE25" s="1548"/>
      <c r="DF25" s="1549"/>
      <c r="DG25" s="1443" t="str">
        <f>DG6&amp;" год"</f>
        <v>2053 год</v>
      </c>
      <c r="DH25" s="1548"/>
      <c r="DI25" s="1549"/>
      <c r="DJ25" s="1443" t="str">
        <f>DJ6&amp;" год"</f>
        <v>2054 год</v>
      </c>
      <c r="DK25" s="1548"/>
      <c r="DL25" s="1549"/>
      <c r="DM25" s="1443" t="str">
        <f>DM6&amp;" год"</f>
        <v>2055 год</v>
      </c>
      <c r="DN25" s="1548"/>
      <c r="DO25" s="1549"/>
      <c r="DP25" s="1443" t="str">
        <f>DP6&amp;" год"</f>
        <v>2056 год</v>
      </c>
      <c r="DQ25" s="1548"/>
      <c r="DR25" s="1549"/>
      <c r="DS25" s="1443" t="str">
        <f>DS6&amp;" год"</f>
        <v>2057 год</v>
      </c>
      <c r="DT25" s="1548"/>
      <c r="DU25" s="1549"/>
      <c r="DV25" s="1443" t="str">
        <f>DV6&amp;" год"</f>
        <v>2058 год</v>
      </c>
      <c r="DW25" s="1548"/>
      <c r="DX25" s="1549"/>
      <c r="DY25" s="1443" t="str">
        <f>DY6&amp;" год"</f>
        <v>2059 год</v>
      </c>
      <c r="DZ25" s="1548"/>
      <c r="EA25" s="1549"/>
      <c r="EB25" s="1443" t="str">
        <f>EB6&amp;" год"</f>
        <v>2060 год</v>
      </c>
      <c r="EC25" s="1548"/>
      <c r="ED25" s="1549"/>
      <c r="EE25" s="1443" t="str">
        <f>EE6&amp;" год"</f>
        <v>2061 год</v>
      </c>
      <c r="EF25" s="1548"/>
      <c r="EG25" s="1549"/>
      <c r="EH25" s="1443" t="str">
        <f>EH6&amp;" год"</f>
        <v>2062 год</v>
      </c>
      <c r="EI25" s="1548"/>
      <c r="EJ25" s="1549"/>
      <c r="EK25" s="1443" t="str">
        <f>EK6&amp;" год"</f>
        <v>2063 год</v>
      </c>
      <c r="EL25" s="1548"/>
      <c r="EM25" s="1549"/>
      <c r="EN25" s="1443" t="str">
        <f>EN6&amp;" год"</f>
        <v>2064 год</v>
      </c>
      <c r="EO25" s="1548"/>
      <c r="EP25" s="1549"/>
      <c r="EQ25" s="1443" t="str">
        <f>EQ6&amp;" год"</f>
        <v>2065 год</v>
      </c>
      <c r="ER25" s="1548"/>
      <c r="ES25" s="1549"/>
      <c r="ET25" s="1443" t="str">
        <f>ET6&amp;" год"</f>
        <v>2066 год</v>
      </c>
      <c r="EU25" s="1548"/>
      <c r="EV25" s="1549"/>
      <c r="EW25" s="1443" t="str">
        <f>EW6&amp;" год"</f>
        <v>2067 год</v>
      </c>
      <c r="EX25" s="1548"/>
      <c r="EY25" s="1549"/>
      <c r="EZ25" s="1443" t="str">
        <f>EZ6&amp;" год"</f>
        <v>2068 год</v>
      </c>
      <c r="FA25" s="1548"/>
      <c r="FB25" s="1549"/>
      <c r="FC25" s="1443" t="str">
        <f>FC6&amp;" год"</f>
        <v>2069 год</v>
      </c>
      <c r="FD25" s="1548"/>
      <c r="FE25" s="1549"/>
      <c r="FF25" s="1443" t="str">
        <f>FF6&amp;" год"</f>
        <v>2070 год</v>
      </c>
      <c r="FG25" s="1548"/>
      <c r="FH25" s="1549"/>
      <c r="FI25" s="1443" t="str">
        <f>FI6&amp;" год"</f>
        <v>2071 год</v>
      </c>
      <c r="FJ25" s="1548"/>
      <c r="FK25" s="1549"/>
      <c r="FL25" s="1443" t="str">
        <f>FL6&amp;" год"</f>
        <v>2072 год</v>
      </c>
      <c r="FM25" s="1548"/>
      <c r="FN25" s="1549"/>
      <c r="FO25" s="1443" t="str">
        <f>FO6&amp;" год"</f>
        <v>2073 год</v>
      </c>
      <c r="FP25" s="1548"/>
      <c r="FQ25" s="1549"/>
      <c r="FR25" s="1443" t="str">
        <f>FR6&amp;" год"</f>
        <v>2074 год</v>
      </c>
      <c r="FS25" s="1548"/>
      <c r="FT25" s="1549"/>
      <c r="FU25" s="1443" t="str">
        <f>FU6&amp;" год"</f>
        <v>2075 год</v>
      </c>
      <c r="FV25" s="1548"/>
      <c r="FW25" s="1549"/>
      <c r="GA25" s="1217"/>
      <c r="GB25" s="1217"/>
      <c r="GC25" s="1217"/>
      <c r="GD25" s="1217"/>
    </row>
    <row customHeight="1" ht="42.4125">
      <c r="E26" s="794">
        <v>43.5</v>
      </c>
      <c r="Q26" s="1315"/>
      <c r="R26" s="210"/>
      <c r="S26" s="211">
        <f>OR(hasVS,hasVO)</f>
        <v>0</v>
      </c>
      <c r="AB26" s="1441"/>
      <c r="AC26" s="1441"/>
      <c r="AD26" s="1355" t="s">
        <v>402</v>
      </c>
      <c r="AE26" s="169" t="s">
        <v>401</v>
      </c>
      <c r="AF26" s="169" t="s">
        <v>2051</v>
      </c>
      <c r="AG26" s="1358" t="s">
        <v>402</v>
      </c>
      <c r="AH26" s="169" t="s">
        <v>401</v>
      </c>
      <c r="AI26" s="169" t="s">
        <v>2051</v>
      </c>
      <c r="AJ26" s="1358" t="s">
        <v>402</v>
      </c>
      <c r="AK26" s="169" t="s">
        <v>401</v>
      </c>
      <c r="AL26" s="169" t="s">
        <v>2051</v>
      </c>
      <c r="AM26" s="1358" t="s">
        <v>402</v>
      </c>
      <c r="AN26" s="169" t="s">
        <v>401</v>
      </c>
      <c r="AO26" s="169" t="s">
        <v>2051</v>
      </c>
      <c r="AP26" s="1358" t="s">
        <v>402</v>
      </c>
      <c r="AQ26" s="169" t="s">
        <v>401</v>
      </c>
      <c r="AR26" s="169" t="s">
        <v>2051</v>
      </c>
      <c r="AS26" s="1358" t="s">
        <v>402</v>
      </c>
      <c r="AT26" s="169" t="s">
        <v>401</v>
      </c>
      <c r="AU26" s="169" t="s">
        <v>2051</v>
      </c>
      <c r="AV26" s="1358" t="s">
        <v>402</v>
      </c>
      <c r="AW26" s="169" t="s">
        <v>401</v>
      </c>
      <c r="AX26" s="169" t="s">
        <v>2051</v>
      </c>
      <c r="AY26" s="1358" t="s">
        <v>402</v>
      </c>
      <c r="AZ26" s="169" t="s">
        <v>401</v>
      </c>
      <c r="BA26" s="169" t="s">
        <v>2051</v>
      </c>
      <c r="BB26" s="1358" t="s">
        <v>402</v>
      </c>
      <c r="BC26" s="169" t="s">
        <v>401</v>
      </c>
      <c r="BD26" s="169" t="s">
        <v>2051</v>
      </c>
      <c r="BE26" s="1358" t="s">
        <v>402</v>
      </c>
      <c r="BF26" s="169" t="s">
        <v>401</v>
      </c>
      <c r="BG26" s="169" t="s">
        <v>2051</v>
      </c>
      <c r="BH26" s="1358" t="s">
        <v>402</v>
      </c>
      <c r="BI26" s="169" t="s">
        <v>401</v>
      </c>
      <c r="BJ26" s="169" t="s">
        <v>2051</v>
      </c>
      <c r="BK26" s="1358" t="s">
        <v>402</v>
      </c>
      <c r="BL26" s="169" t="s">
        <v>401</v>
      </c>
      <c r="BM26" s="169" t="s">
        <v>2051</v>
      </c>
      <c r="BN26" s="1358" t="s">
        <v>402</v>
      </c>
      <c r="BO26" s="169" t="s">
        <v>401</v>
      </c>
      <c r="BP26" s="169" t="s">
        <v>2051</v>
      </c>
      <c r="BQ26" s="1358" t="s">
        <v>402</v>
      </c>
      <c r="BR26" s="169" t="s">
        <v>401</v>
      </c>
      <c r="BS26" s="169" t="s">
        <v>2051</v>
      </c>
      <c r="BT26" s="1358" t="s">
        <v>402</v>
      </c>
      <c r="BU26" s="169" t="s">
        <v>401</v>
      </c>
      <c r="BV26" s="169" t="s">
        <v>2051</v>
      </c>
      <c r="BW26" s="169" t="s">
        <v>402</v>
      </c>
      <c r="BX26" s="169" t="s">
        <v>401</v>
      </c>
      <c r="BY26" s="169" t="s">
        <v>2051</v>
      </c>
      <c r="BZ26" s="169" t="s">
        <v>402</v>
      </c>
      <c r="CA26" s="169" t="s">
        <v>401</v>
      </c>
      <c r="CB26" s="169" t="s">
        <v>2051</v>
      </c>
      <c r="CC26" s="169" t="s">
        <v>402</v>
      </c>
      <c r="CD26" s="169" t="s">
        <v>401</v>
      </c>
      <c r="CE26" s="169" t="s">
        <v>2051</v>
      </c>
      <c r="CF26" s="169" t="s">
        <v>402</v>
      </c>
      <c r="CG26" s="169" t="s">
        <v>401</v>
      </c>
      <c r="CH26" s="169" t="s">
        <v>2051</v>
      </c>
      <c r="CI26" s="169" t="s">
        <v>402</v>
      </c>
      <c r="CJ26" s="169" t="s">
        <v>401</v>
      </c>
      <c r="CK26" s="169" t="s">
        <v>2051</v>
      </c>
      <c r="CL26" s="169" t="s">
        <v>402</v>
      </c>
      <c r="CM26" s="169" t="s">
        <v>401</v>
      </c>
      <c r="CN26" s="169" t="s">
        <v>2051</v>
      </c>
      <c r="CO26" s="169" t="s">
        <v>402</v>
      </c>
      <c r="CP26" s="169" t="s">
        <v>401</v>
      </c>
      <c r="CQ26" s="169" t="s">
        <v>2051</v>
      </c>
      <c r="CR26" s="169" t="s">
        <v>402</v>
      </c>
      <c r="CS26" s="169" t="s">
        <v>401</v>
      </c>
      <c r="CT26" s="169" t="s">
        <v>2051</v>
      </c>
      <c r="CU26" s="169" t="s">
        <v>402</v>
      </c>
      <c r="CV26" s="169" t="s">
        <v>401</v>
      </c>
      <c r="CW26" s="169" t="s">
        <v>2051</v>
      </c>
      <c r="CX26" s="169" t="s">
        <v>402</v>
      </c>
      <c r="CY26" s="169" t="s">
        <v>401</v>
      </c>
      <c r="CZ26" s="169" t="s">
        <v>2051</v>
      </c>
      <c r="DA26" s="169" t="s">
        <v>402</v>
      </c>
      <c r="DB26" s="169" t="s">
        <v>401</v>
      </c>
      <c r="DC26" s="169" t="s">
        <v>2051</v>
      </c>
      <c r="DD26" s="169" t="s">
        <v>402</v>
      </c>
      <c r="DE26" s="169" t="s">
        <v>401</v>
      </c>
      <c r="DF26" s="169" t="s">
        <v>2051</v>
      </c>
      <c r="DG26" s="169" t="s">
        <v>402</v>
      </c>
      <c r="DH26" s="169" t="s">
        <v>401</v>
      </c>
      <c r="DI26" s="169" t="s">
        <v>2051</v>
      </c>
      <c r="DJ26" s="169" t="s">
        <v>402</v>
      </c>
      <c r="DK26" s="169" t="s">
        <v>401</v>
      </c>
      <c r="DL26" s="169" t="s">
        <v>2051</v>
      </c>
      <c r="DM26" s="169" t="s">
        <v>402</v>
      </c>
      <c r="DN26" s="169" t="s">
        <v>401</v>
      </c>
      <c r="DO26" s="169" t="s">
        <v>2051</v>
      </c>
      <c r="DP26" s="169" t="s">
        <v>402</v>
      </c>
      <c r="DQ26" s="169" t="s">
        <v>401</v>
      </c>
      <c r="DR26" s="169" t="s">
        <v>2051</v>
      </c>
      <c r="DS26" s="169" t="s">
        <v>402</v>
      </c>
      <c r="DT26" s="169" t="s">
        <v>401</v>
      </c>
      <c r="DU26" s="169" t="s">
        <v>2051</v>
      </c>
      <c r="DV26" s="169" t="s">
        <v>402</v>
      </c>
      <c r="DW26" s="169" t="s">
        <v>401</v>
      </c>
      <c r="DX26" s="169" t="s">
        <v>2051</v>
      </c>
      <c r="DY26" s="169" t="s">
        <v>402</v>
      </c>
      <c r="DZ26" s="169" t="s">
        <v>401</v>
      </c>
      <c r="EA26" s="169" t="s">
        <v>2051</v>
      </c>
      <c r="EB26" s="169" t="s">
        <v>402</v>
      </c>
      <c r="EC26" s="169" t="s">
        <v>401</v>
      </c>
      <c r="ED26" s="169" t="s">
        <v>2051</v>
      </c>
      <c r="EE26" s="169" t="s">
        <v>402</v>
      </c>
      <c r="EF26" s="169" t="s">
        <v>401</v>
      </c>
      <c r="EG26" s="169" t="s">
        <v>2051</v>
      </c>
      <c r="EH26" s="169" t="s">
        <v>402</v>
      </c>
      <c r="EI26" s="169" t="s">
        <v>401</v>
      </c>
      <c r="EJ26" s="169" t="s">
        <v>2051</v>
      </c>
      <c r="EK26" s="169" t="s">
        <v>402</v>
      </c>
      <c r="EL26" s="169" t="s">
        <v>401</v>
      </c>
      <c r="EM26" s="169" t="s">
        <v>2051</v>
      </c>
      <c r="EN26" s="169" t="s">
        <v>402</v>
      </c>
      <c r="EO26" s="169" t="s">
        <v>401</v>
      </c>
      <c r="EP26" s="169" t="s">
        <v>2051</v>
      </c>
      <c r="EQ26" s="169" t="s">
        <v>402</v>
      </c>
      <c r="ER26" s="169" t="s">
        <v>401</v>
      </c>
      <c r="ES26" s="169" t="s">
        <v>2051</v>
      </c>
      <c r="ET26" s="169" t="s">
        <v>402</v>
      </c>
      <c r="EU26" s="169" t="s">
        <v>401</v>
      </c>
      <c r="EV26" s="169" t="s">
        <v>2051</v>
      </c>
      <c r="EW26" s="169" t="s">
        <v>402</v>
      </c>
      <c r="EX26" s="169" t="s">
        <v>401</v>
      </c>
      <c r="EY26" s="169" t="s">
        <v>2051</v>
      </c>
      <c r="EZ26" s="169" t="s">
        <v>402</v>
      </c>
      <c r="FA26" s="169" t="s">
        <v>401</v>
      </c>
      <c r="FB26" s="169" t="s">
        <v>2051</v>
      </c>
      <c r="FC26" s="169" t="s">
        <v>402</v>
      </c>
      <c r="FD26" s="169" t="s">
        <v>401</v>
      </c>
      <c r="FE26" s="169" t="s">
        <v>2051</v>
      </c>
      <c r="FF26" s="169" t="s">
        <v>402</v>
      </c>
      <c r="FG26" s="169" t="s">
        <v>401</v>
      </c>
      <c r="FH26" s="169" t="s">
        <v>2051</v>
      </c>
      <c r="FI26" s="169" t="s">
        <v>402</v>
      </c>
      <c r="FJ26" s="169" t="s">
        <v>401</v>
      </c>
      <c r="FK26" s="169" t="s">
        <v>2051</v>
      </c>
      <c r="FL26" s="169" t="s">
        <v>402</v>
      </c>
      <c r="FM26" s="169" t="s">
        <v>401</v>
      </c>
      <c r="FN26" s="169" t="s">
        <v>2051</v>
      </c>
      <c r="FO26" s="169" t="s">
        <v>402</v>
      </c>
      <c r="FP26" s="169" t="s">
        <v>401</v>
      </c>
      <c r="FQ26" s="169" t="s">
        <v>2051</v>
      </c>
      <c r="FR26" s="169" t="s">
        <v>402</v>
      </c>
      <c r="FS26" s="169" t="s">
        <v>401</v>
      </c>
      <c r="FT26" s="169" t="s">
        <v>2051</v>
      </c>
      <c r="FU26" s="169" t="s">
        <v>402</v>
      </c>
      <c r="FV26" s="169" t="s">
        <v>401</v>
      </c>
      <c r="FW26" s="169" t="s">
        <v>2051</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311</v>
      </c>
      <c r="X28" s="172">
        <v>0</v>
      </c>
      <c r="AB28" s="1551" t="s">
        <v>385</v>
      </c>
      <c r="AC28" s="1552"/>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417"/>
      <c r="AC29" s="141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417" t="s">
        <v>2052</v>
      </c>
      <c r="AC30" s="141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417" t="s">
        <v>2053</v>
      </c>
      <c r="AC31" s="141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2054</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2055</v>
      </c>
      <c r="D33" s="1292" t="s">
        <v>2056</v>
      </c>
      <c r="E33" s="794">
        <v>17.1</v>
      </c>
      <c r="F33" s="920" cm="1" t="str">
        <f t="array" ref="F33:F33">OFFSET(G33,-1,-1)</f>
        <v>0</v>
      </c>
      <c r="G33" s="736" t="s">
        <v>1697</v>
      </c>
      <c r="H33" s="210" t="s">
        <v>488</v>
      </c>
      <c r="I33" s="210" t="s">
        <v>2057</v>
      </c>
      <c r="J33" s="1313" t="s">
        <v>2058</v>
      </c>
      <c r="K33" s="1313" cm="1" t="str">
        <f t="array" ref="K33:K33">INDEX('Общие сведения'!$N$169:$N$202,MATCH($F33,'Общие сведения'!$Z$169:$Z$202,0)+1)</f>
        <v>0</v>
      </c>
      <c r="L33" s="1313" t="s">
        <v>2059</v>
      </c>
      <c r="M33" s="1313" t="s">
        <v>1692</v>
      </c>
      <c r="N33" s="1313" t="s">
        <v>2060</v>
      </c>
      <c r="O33" s="1314" t="s">
        <v>2061</v>
      </c>
      <c r="P33" s="1313"/>
      <c r="Q33" s="1313"/>
      <c r="T33" s="805" cm="1" t="str">
        <f t="array" ref="T33:T33">T32</f>
        <v>false</v>
      </c>
      <c r="AB33" s="1352" t="s">
        <v>2062</v>
      </c>
      <c r="AC33" s="361" t="s">
        <v>889</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06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6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06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6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2063</v>
      </c>
      <c r="GA33" s="1217"/>
      <c r="GB33" s="1217"/>
      <c r="GC33" s="1217"/>
      <c r="GD33" s="1217"/>
    </row>
    <row s="360" customFormat="1" customHeight="1" ht="16.672500000000003" hidden="1">
      <c r="B34" s="962" cm="1" t="str">
        <f t="array" ref="B34:B34">B33</f>
        <v>false</v>
      </c>
      <c r="C34" s="1323" t="s">
        <v>2055</v>
      </c>
      <c r="D34" s="1292" t="s">
        <v>2056</v>
      </c>
      <c r="E34" s="794">
        <v>17.1</v>
      </c>
      <c r="F34" s="920" cm="1" t="str">
        <f t="array" ref="F34:F34">OFFSET(G34,-1,-1)</f>
        <v>0</v>
      </c>
      <c r="G34" s="736" t="s">
        <v>1704</v>
      </c>
      <c r="H34" s="210" t="s">
        <v>488</v>
      </c>
      <c r="I34" s="210" t="s">
        <v>2064</v>
      </c>
      <c r="J34" s="1313" t="s">
        <v>2058</v>
      </c>
      <c r="K34" s="1313" cm="1" t="str">
        <f t="array" ref="K34:K34">OFFSET(J34,-1,1)</f>
        <v>0</v>
      </c>
      <c r="L34" s="1313" t="s">
        <v>2059</v>
      </c>
      <c r="M34" s="1313" t="s">
        <v>1701</v>
      </c>
      <c r="N34" s="1313" t="s">
        <v>2060</v>
      </c>
      <c r="O34" s="1314" t="s">
        <v>2061</v>
      </c>
      <c r="P34" s="1313"/>
      <c r="Q34" s="1313"/>
      <c r="T34" s="805" cm="1" t="str">
        <f t="array" ref="T34:T34">T33</f>
        <v>false</v>
      </c>
      <c r="AB34" s="1352" t="s">
        <v>2065</v>
      </c>
      <c r="AC34" s="361" t="s">
        <v>889</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06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6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06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6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2066</v>
      </c>
      <c r="GA34" s="1217"/>
      <c r="GB34" s="1217"/>
      <c r="GC34" s="1217"/>
      <c r="GD34" s="1217"/>
    </row>
    <row customHeight="1" ht="16.672500000000003" hidden="1">
      <c r="B35" s="962" cm="1" t="str">
        <f t="array" ref="B35:B35">B34</f>
        <v>false</v>
      </c>
      <c r="C35" s="1323" t="s">
        <v>1707</v>
      </c>
      <c r="D35" s="1292" t="s">
        <v>1708</v>
      </c>
      <c r="E35" s="794">
        <v>17.1</v>
      </c>
      <c r="F35" s="920" cm="1" t="str">
        <f t="array" ref="F35:F35">OFFSET(G35,-1,-1)</f>
        <v>0</v>
      </c>
      <c r="H35" s="210" t="s">
        <v>491</v>
      </c>
      <c r="I35" s="210" t="s">
        <v>2067</v>
      </c>
      <c r="J35" s="1313" t="s">
        <v>2058</v>
      </c>
      <c r="K35" s="1313" cm="1" t="str">
        <f t="array" ref="K35:K35">OFFSET(J35,-1,1)</f>
        <v>0</v>
      </c>
      <c r="L35" s="1313" t="s">
        <v>2068</v>
      </c>
      <c r="M35" s="1313"/>
      <c r="N35" s="1313" t="s">
        <v>2060</v>
      </c>
      <c r="O35" s="1314" t="s">
        <v>2061</v>
      </c>
      <c r="P35" s="1313"/>
      <c r="Q35" s="1313"/>
      <c r="T35" s="805" cm="1" t="str">
        <f t="array" ref="T35:T35">T34</f>
        <v>false</v>
      </c>
      <c r="AB35" s="1058" t="s">
        <v>2069</v>
      </c>
      <c r="AC35" s="169" t="s">
        <v>485</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2070</v>
      </c>
      <c r="GA35" s="1217"/>
      <c r="GB35" s="1217"/>
      <c r="GC35" s="1217"/>
      <c r="GD35" s="1217"/>
    </row>
    <row customHeight="1" ht="16.672500000000003" hidden="1">
      <c r="B36" s="962" cm="1" t="str">
        <f t="array" ref="B36:B36">B35</f>
        <v>false</v>
      </c>
      <c r="C36" s="1323" t="s">
        <v>1689</v>
      </c>
      <c r="D36" s="1292" t="s">
        <v>1690</v>
      </c>
      <c r="E36" s="794">
        <v>17.1</v>
      </c>
      <c r="F36" s="920" cm="1" t="str">
        <f t="array" ref="F36:F36">OFFSET(G36,-1,-1)</f>
        <v>0</v>
      </c>
      <c r="G36" s="190" t="s">
        <v>2071</v>
      </c>
      <c r="H36" s="210" t="s">
        <v>498</v>
      </c>
      <c r="I36" s="210" t="s">
        <v>2067</v>
      </c>
      <c r="J36" s="1313" t="s">
        <v>2058</v>
      </c>
      <c r="K36" s="1313" cm="1" t="str">
        <f t="array" ref="K36:K36">OFFSET(J36,-1,1)</f>
        <v>0</v>
      </c>
      <c r="L36" s="1313" t="s">
        <v>2072</v>
      </c>
      <c r="M36" s="1313"/>
      <c r="N36" s="1313" t="s">
        <v>2060</v>
      </c>
      <c r="O36" s="1314" t="s">
        <v>2061</v>
      </c>
      <c r="P36" s="1313"/>
      <c r="Q36" s="1313"/>
      <c r="T36" s="805" cm="1" t="str">
        <f t="array" ref="T36:T36">T35</f>
        <v>false</v>
      </c>
      <c r="AB36" s="1058" t="s">
        <v>2073</v>
      </c>
      <c r="AC36" s="169" t="s">
        <v>586</v>
      </c>
      <c r="AD36" s="147">
        <f>SUM(AD37:AD38)</f>
        <v>0</v>
      </c>
      <c r="AE36" s="147">
        <f>SUM(AE37:AE38)</f>
        <v>0</v>
      </c>
      <c r="AF36" s="397">
        <f>IF(AD36=0,0,(AE36-AD36)/AD36*100)</f>
        <v>0</v>
      </c>
      <c r="AG36" s="2063">
        <f>SUM(AG37:AG38)</f>
        <v>0</v>
      </c>
      <c r="AH36" s="2063">
        <f>SUM(AH37:AH38)</f>
        <v>0</v>
      </c>
      <c r="AI36" s="397">
        <f>IF(AG36=0,0,(AH36-AG36)/AG36*100)</f>
        <v>0</v>
      </c>
      <c r="AJ36" s="2063">
        <f>SUM(AJ37:AJ38)</f>
        <v>0</v>
      </c>
      <c r="AK36" s="2063">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2074</v>
      </c>
      <c r="GA36" s="1217"/>
      <c r="GB36" s="1217"/>
      <c r="GC36" s="1217"/>
      <c r="GD36" s="1217"/>
    </row>
    <row customHeight="1" ht="16.672500000000003" hidden="1">
      <c r="B37" s="962" cm="1" t="str">
        <f t="array" ref="B37:B37">B36</f>
        <v>false</v>
      </c>
      <c r="C37" s="1323" t="s">
        <v>1689</v>
      </c>
      <c r="D37" s="1292" t="s">
        <v>1690</v>
      </c>
      <c r="E37" s="794">
        <v>17.1</v>
      </c>
      <c r="F37" s="920" cm="1" t="str">
        <f t="array" ref="F37:F37">OFFSET(G37,-1,-1)</f>
        <v>0</v>
      </c>
      <c r="G37" s="190" t="s">
        <v>1691</v>
      </c>
      <c r="J37" s="1313" t="s">
        <v>2058</v>
      </c>
      <c r="K37" s="1313" cm="1" t="str">
        <f t="array" ref="K37:K37">OFFSET(J37,-1,1)</f>
        <v>0</v>
      </c>
      <c r="L37" s="1313" t="s">
        <v>2072</v>
      </c>
      <c r="M37" s="1313" t="s">
        <v>1692</v>
      </c>
      <c r="N37" s="1313" t="s">
        <v>2060</v>
      </c>
      <c r="O37" s="1314" t="s">
        <v>2061</v>
      </c>
      <c r="P37" s="1313"/>
      <c r="Q37" s="1313"/>
      <c r="T37" s="805" cm="1" t="str">
        <f t="array" ref="T37:T37">T36</f>
        <v>false</v>
      </c>
      <c r="AB37" s="286" t="s">
        <v>1693</v>
      </c>
      <c r="AC37" s="169" t="s">
        <v>586</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063">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63">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063">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63">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2075</v>
      </c>
      <c r="GA37" s="1217"/>
      <c r="GB37" s="1217"/>
      <c r="GC37" s="1217"/>
      <c r="GD37" s="1217"/>
    </row>
    <row customHeight="1" ht="16.672500000000003" hidden="1">
      <c r="B38" s="962" cm="1" t="str">
        <f t="array" ref="B38:B38">B37</f>
        <v>false</v>
      </c>
      <c r="C38" s="1323" t="s">
        <v>1689</v>
      </c>
      <c r="D38" s="1292" t="s">
        <v>1690</v>
      </c>
      <c r="E38" s="794">
        <v>17.1</v>
      </c>
      <c r="F38" s="920" cm="1" t="str">
        <f t="array" ref="F38:F38">OFFSET(G38,-1,-1)</f>
        <v>0</v>
      </c>
      <c r="G38" s="190" t="s">
        <v>1700</v>
      </c>
      <c r="J38" s="1313" t="s">
        <v>2058</v>
      </c>
      <c r="K38" s="1313" cm="1" t="str">
        <f t="array" ref="K38:K38">OFFSET(J38,-1,1)</f>
        <v>0</v>
      </c>
      <c r="L38" s="1313" t="s">
        <v>2072</v>
      </c>
      <c r="M38" s="1313" t="s">
        <v>1701</v>
      </c>
      <c r="N38" s="1313" t="s">
        <v>2060</v>
      </c>
      <c r="O38" s="1314" t="s">
        <v>2061</v>
      </c>
      <c r="P38" s="1313"/>
      <c r="Q38" s="1313"/>
      <c r="T38" s="805" cm="1" t="str">
        <f t="array" ref="T38:T38">T37</f>
        <v>false</v>
      </c>
      <c r="AB38" s="286" t="s">
        <v>1702</v>
      </c>
      <c r="AC38" s="169" t="s">
        <v>586</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063">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63">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063">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63">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2076</v>
      </c>
      <c r="GA38" s="1217"/>
      <c r="GB38" s="1217"/>
      <c r="GC38" s="1217"/>
      <c r="GD38" s="1217"/>
    </row>
    <row s="360" customFormat="1" customHeight="1" ht="16.672500000000003" hidden="1">
      <c r="B39" s="962" cm="1" t="str">
        <f t="array" ref="B39:B39">B38</f>
        <v>false</v>
      </c>
      <c r="C39" s="1323" t="s">
        <v>2077</v>
      </c>
      <c r="D39" s="1292" t="s">
        <v>2078</v>
      </c>
      <c r="E39" s="794">
        <v>17.1</v>
      </c>
      <c r="F39" s="920" cm="1" t="str">
        <f t="array" ref="F39:F39">OFFSET(G39,-1,-1)</f>
        <v>0</v>
      </c>
      <c r="H39" s="210" t="s">
        <v>488</v>
      </c>
      <c r="I39" s="210" t="s">
        <v>2079</v>
      </c>
      <c r="J39" s="1313" t="s">
        <v>2058</v>
      </c>
      <c r="K39" s="1313" cm="1" t="str">
        <f t="array" ref="K39:K39">OFFSET(J39,-1,1)</f>
        <v>0</v>
      </c>
      <c r="L39" s="1313"/>
      <c r="M39" s="1313" t="s">
        <v>1692</v>
      </c>
      <c r="N39" s="1313" t="s">
        <v>2080</v>
      </c>
      <c r="O39" s="1314" t="s">
        <v>2081</v>
      </c>
      <c r="P39" s="1313"/>
      <c r="Q39" s="1313"/>
      <c r="T39" s="805" cm="1" t="str">
        <f t="array" ref="T39:T39">T38</f>
        <v>false</v>
      </c>
      <c r="AB39" s="1352" t="s">
        <v>2082</v>
      </c>
      <c r="AC39" s="361" t="s">
        <v>889</v>
      </c>
      <c r="AD39" s="146">
        <f>IF(tax_system="ОСНО",AD33*Сценарии!AE$26,AD33)</f>
        <v>0</v>
      </c>
      <c r="AE39" s="146">
        <f>IF(tax_system="ОСНО",AE33*Сценарии!AO$26,AE33)</f>
        <v>0</v>
      </c>
      <c r="AF39" s="363">
        <f>IF(AD39=0,0,(AE39-AD39)/AD39*100)</f>
        <v>0</v>
      </c>
      <c r="AG39" s="2060">
        <f>IF(tax_system="ОСНО",AG33*Сценарии!AF$26,AG33)</f>
        <v>0</v>
      </c>
      <c r="AH39" s="2060">
        <f>IF(tax_system="ОСНО",AH33*Сценарии!AP$26,AH33)</f>
        <v>0</v>
      </c>
      <c r="AI39" s="363">
        <f>IF(AG39=0,0,(AH39-AG39)/AG39*100)</f>
        <v>0</v>
      </c>
      <c r="AJ39" s="2060">
        <f>IF(tax_system="ОСНО",AJ33*Сценарии!AG$26,AJ33)</f>
        <v>0</v>
      </c>
      <c r="AK39" s="2060">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2083</v>
      </c>
      <c r="GA39" s="1217"/>
      <c r="GB39" s="1217"/>
      <c r="GC39" s="1217"/>
      <c r="GD39" s="1217"/>
    </row>
    <row s="360" customFormat="1" customHeight="1" ht="16.672500000000003" hidden="1">
      <c r="B40" s="962" cm="1" t="str">
        <f t="array" ref="B40:B40">B39</f>
        <v>false</v>
      </c>
      <c r="C40" s="1323" t="s">
        <v>2077</v>
      </c>
      <c r="D40" s="1292" t="s">
        <v>2078</v>
      </c>
      <c r="E40" s="794">
        <v>17.1</v>
      </c>
      <c r="F40" s="920" cm="1" t="str">
        <f t="array" ref="F40:F40">OFFSET(G40,-1,-1)</f>
        <v>0</v>
      </c>
      <c r="H40" s="210" t="s">
        <v>488</v>
      </c>
      <c r="I40" s="210" t="s">
        <v>2084</v>
      </c>
      <c r="J40" s="1313" t="s">
        <v>2058</v>
      </c>
      <c r="K40" s="1313" cm="1" t="str">
        <f t="array" ref="K40:K40">OFFSET(J40,-1,1)</f>
        <v>0</v>
      </c>
      <c r="L40" s="1313"/>
      <c r="M40" s="1313" t="s">
        <v>1701</v>
      </c>
      <c r="N40" s="1313" t="s">
        <v>2080</v>
      </c>
      <c r="O40" s="1314" t="s">
        <v>2081</v>
      </c>
      <c r="P40" s="1313"/>
      <c r="Q40" s="1313"/>
      <c r="T40" s="805" cm="1" t="str">
        <f t="array" ref="T40:T40">T39</f>
        <v>false</v>
      </c>
      <c r="AB40" s="1352" t="s">
        <v>2085</v>
      </c>
      <c r="AC40" s="361" t="s">
        <v>889</v>
      </c>
      <c r="AD40" s="146">
        <f>IF(tax_system="ОСНО",AD34*Сценарии!AE$26,AD34)</f>
        <v>0</v>
      </c>
      <c r="AE40" s="146">
        <f>IF(tax_system="ОСНО",AE34*Сценарии!AO$26,AE34)</f>
        <v>0</v>
      </c>
      <c r="AF40" s="363">
        <f>IF(AD40=0,0,(AE40-AD40)/AD40*100)</f>
        <v>0</v>
      </c>
      <c r="AG40" s="2060">
        <f>IF(tax_system="ОСНО",AG34*Сценарии!AF$26,AG34)</f>
        <v>0</v>
      </c>
      <c r="AH40" s="2060">
        <f>IF(tax_system="ОСНО",AH34*Сценарии!AP$26,AH34)</f>
        <v>0</v>
      </c>
      <c r="AI40" s="363">
        <f>IF(AG40=0,0,(AH40-AG40)/AG40*100)</f>
        <v>0</v>
      </c>
      <c r="AJ40" s="2060">
        <f>IF(tax_system="ОСНО",AJ34*Сценарии!AG$26,AJ34)</f>
        <v>0</v>
      </c>
      <c r="AK40" s="2060">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2086</v>
      </c>
      <c r="GA40" s="1217"/>
      <c r="GB40" s="1217"/>
      <c r="GC40" s="1217"/>
      <c r="GD40" s="1217"/>
    </row>
    <row customHeight="1" ht="16.672500000000003" hidden="1">
      <c r="B41" s="962" cm="1" t="str">
        <f t="array" ref="B41:B41">B40</f>
        <v>false</v>
      </c>
      <c r="C41" s="1323" t="s">
        <v>1707</v>
      </c>
      <c r="D41" s="1292" t="s">
        <v>1708</v>
      </c>
      <c r="E41" s="794">
        <v>17.1</v>
      </c>
      <c r="F41" s="920" cm="1" t="str">
        <f t="array" ref="F41:F41">OFFSET(G41,-1,-1)</f>
        <v>0</v>
      </c>
      <c r="H41" s="210" t="s">
        <v>491</v>
      </c>
      <c r="I41" s="210" t="s">
        <v>2087</v>
      </c>
      <c r="J41" s="1313" t="s">
        <v>2058</v>
      </c>
      <c r="K41" s="1313" cm="1" t="str">
        <f t="array" ref="K41:K41">OFFSET(J41,-1,1)</f>
        <v>0</v>
      </c>
      <c r="L41" s="1313" t="s">
        <v>2068</v>
      </c>
      <c r="M41" s="1313"/>
      <c r="N41" s="1313" t="s">
        <v>2080</v>
      </c>
      <c r="O41" s="1314" t="s">
        <v>2081</v>
      </c>
      <c r="P41" s="1313"/>
      <c r="Q41" s="1313"/>
      <c r="T41" s="805" cm="1" t="str">
        <f t="array" ref="T41:T41">T40</f>
        <v>false</v>
      </c>
      <c r="AB41" s="1058" t="s">
        <v>2069</v>
      </c>
      <c r="AC41" s="169" t="s">
        <v>485</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2088</v>
      </c>
      <c r="GA41" s="1217"/>
      <c r="GB41" s="1217"/>
      <c r="GC41" s="1217"/>
      <c r="GD41" s="1217"/>
    </row>
    <row customHeight="1" ht="16.672500000000003" hidden="1">
      <c r="B42" s="962" cm="1" t="str">
        <f t="array" ref="B42:B42">B41</f>
        <v>false</v>
      </c>
      <c r="C42" s="1323" t="s">
        <v>1689</v>
      </c>
      <c r="D42" s="1292" t="s">
        <v>1690</v>
      </c>
      <c r="E42" s="794">
        <v>17.1</v>
      </c>
      <c r="F42" s="920" cm="1" t="str">
        <f t="array" ref="F42:F42">OFFSET(G42,-1,-1)</f>
        <v>0</v>
      </c>
      <c r="G42" s="190" t="s">
        <v>2089</v>
      </c>
      <c r="H42" s="210" t="s">
        <v>498</v>
      </c>
      <c r="I42" s="210" t="s">
        <v>2087</v>
      </c>
      <c r="J42" s="1313" t="s">
        <v>2058</v>
      </c>
      <c r="K42" s="1313" cm="1" t="str">
        <f t="array" ref="K42:K42">OFFSET(J42,-1,1)</f>
        <v>0</v>
      </c>
      <c r="L42" s="1313" t="s">
        <v>2072</v>
      </c>
      <c r="M42" s="1313"/>
      <c r="N42" s="1313" t="s">
        <v>2080</v>
      </c>
      <c r="O42" s="1314" t="s">
        <v>2081</v>
      </c>
      <c r="P42" s="1313"/>
      <c r="Q42" s="1313"/>
      <c r="T42" s="805" cm="1" t="str">
        <f t="array" ref="T42:T42">T41</f>
        <v>false</v>
      </c>
      <c r="AB42" s="1058" t="s">
        <v>2090</v>
      </c>
      <c r="AC42" s="169" t="s">
        <v>586</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35">
        <f>_xlfn.SUMIFS('Баланс Пр'!AJ$27:AJ$165,'Баланс Пр'!$F$27:$F$165,$F42,'Баланс Пр'!$AB$27:$AB$165,"9.1.2.3")</f>
        <v>0</v>
      </c>
      <c r="AH42" s="1835">
        <f>_xlfn.SUMIFS('Баланс Пр'!AT$27:AT$165,'Баланс Пр'!$F$27:$F$165,$F42,'Баланс Пр'!$AB$27:$AB$165,"9.1.2.3")</f>
        <v>0</v>
      </c>
      <c r="AI42" s="397">
        <f>IF(AG42=0,0,(AH42-AG42)/AG42*100)</f>
        <v>0</v>
      </c>
      <c r="AJ42" s="1835">
        <f>_xlfn.SUMIFS('Баланс Пр'!AK$27:AK$165,'Баланс Пр'!$F$27:$F$165,$F42,'Баланс Пр'!$AB$27:$AB$165,"9.1.2.3")</f>
        <v>0</v>
      </c>
      <c r="AK42" s="1835">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2091</v>
      </c>
      <c r="GA42" s="1217"/>
      <c r="GB42" s="1217"/>
      <c r="GC42" s="1217"/>
      <c r="GD42" s="1217"/>
    </row>
    <row customHeight="1" ht="16.672500000000003" hidden="1">
      <c r="B43" s="962" cm="1" t="str">
        <f t="array" ref="B43:B43">B42</f>
        <v>false</v>
      </c>
      <c r="C43" s="1323" t="s">
        <v>1689</v>
      </c>
      <c r="D43" s="1292" t="s">
        <v>1690</v>
      </c>
      <c r="E43" s="794">
        <v>17.1</v>
      </c>
      <c r="F43" s="920" cm="1" t="str">
        <f t="array" ref="F43:F43">OFFSET(G43,-1,-1)</f>
        <v>0</v>
      </c>
      <c r="J43" s="1313" t="s">
        <v>2058</v>
      </c>
      <c r="K43" s="1313" cm="1" t="str">
        <f t="array" ref="K43:K43">OFFSET(J43,-1,1)</f>
        <v>0</v>
      </c>
      <c r="L43" s="1313" t="s">
        <v>2072</v>
      </c>
      <c r="M43" s="1313" t="s">
        <v>1692</v>
      </c>
      <c r="N43" s="1313" t="s">
        <v>2080</v>
      </c>
      <c r="O43" s="1314" t="s">
        <v>2081</v>
      </c>
      <c r="P43" s="1313"/>
      <c r="Q43" s="1313"/>
      <c r="T43" s="805" cm="1" t="str">
        <f t="array" ref="T43:T43">T42</f>
        <v>false</v>
      </c>
      <c r="AB43" s="273" t="s">
        <v>2092</v>
      </c>
      <c r="AC43" s="675" t="s">
        <v>586</v>
      </c>
      <c r="AD43" s="114"/>
      <c r="AE43" s="114"/>
      <c r="AF43" s="690">
        <f>IF(AD43=0,0,(AE43-AD43)/AD43*100)</f>
        <v>0</v>
      </c>
      <c r="AG43" s="2065"/>
      <c r="AH43" s="2065"/>
      <c r="AI43" s="690">
        <f>IF(AG43=0,0,(AH43-AG43)/AG43*100)</f>
        <v>0</v>
      </c>
      <c r="AJ43" s="2065"/>
      <c r="AK43" s="2065"/>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2093</v>
      </c>
      <c r="GA43" s="1217"/>
      <c r="GB43" s="1217"/>
      <c r="GC43" s="1217"/>
      <c r="GD43" s="1217"/>
    </row>
    <row customHeight="1" ht="16.672500000000003" hidden="1">
      <c r="B44" s="962" cm="1" t="str">
        <f t="array" ref="B44:B44">B43</f>
        <v>false</v>
      </c>
      <c r="C44" s="1323" t="s">
        <v>1689</v>
      </c>
      <c r="D44" s="1292" t="s">
        <v>1690</v>
      </c>
      <c r="E44" s="794">
        <v>17.1</v>
      </c>
      <c r="F44" s="920" cm="1" t="str">
        <f t="array" ref="F44:F44">OFFSET(G44,-1,-1)</f>
        <v>0</v>
      </c>
      <c r="J44" s="1313" t="s">
        <v>2058</v>
      </c>
      <c r="K44" s="1313" cm="1" t="str">
        <f t="array" ref="K44:K44">OFFSET(J44,-1,1)</f>
        <v>0</v>
      </c>
      <c r="L44" s="1313" t="s">
        <v>2072</v>
      </c>
      <c r="M44" s="1313" t="s">
        <v>1701</v>
      </c>
      <c r="N44" s="1313" t="s">
        <v>2080</v>
      </c>
      <c r="O44" s="1314" t="s">
        <v>2081</v>
      </c>
      <c r="P44" s="1313"/>
      <c r="Q44" s="1313"/>
      <c r="T44" s="805" cm="1" t="str">
        <f t="array" ref="T44:T44">T43</f>
        <v>false</v>
      </c>
      <c r="AB44" s="273" t="s">
        <v>2094</v>
      </c>
      <c r="AC44" s="675" t="s">
        <v>586</v>
      </c>
      <c r="AD44" s="114"/>
      <c r="AE44" s="114"/>
      <c r="AF44" s="690">
        <f>IF(AD44=0,0,(AE44-AD44)/AD44*100)</f>
        <v>0</v>
      </c>
      <c r="AG44" s="2065"/>
      <c r="AH44" s="2065"/>
      <c r="AI44" s="690">
        <f>IF(AG44=0,0,(AH44-AG44)/AG44*100)</f>
        <v>0</v>
      </c>
      <c r="AJ44" s="2065"/>
      <c r="AK44" s="2065"/>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2095</v>
      </c>
      <c r="GA44" s="1217"/>
      <c r="GB44" s="1217"/>
      <c r="GC44" s="1217"/>
      <c r="GD44" s="1217"/>
    </row>
    <row s="1642" customFormat="1" customHeight="1" ht="16.5" hidden="1">
      <c r="A45" s="1437"/>
      <c r="B45" s="962" cm="1" t="str">
        <f t="array" ref="B45:B45">OFFSET(A45,-1,1)</f>
        <v>false</v>
      </c>
      <c r="C45" s="1323" t="s">
        <v>2077</v>
      </c>
      <c r="D45" s="1292" t="s">
        <v>2078</v>
      </c>
      <c r="E45" s="923">
        <v>17.1</v>
      </c>
      <c r="F45" s="920" cm="1" t="str">
        <f t="array" ref="F45:F45">OFFSET(G45,-1,-1)</f>
        <v>0</v>
      </c>
      <c r="G45" s="497"/>
      <c r="H45" s="497"/>
      <c r="I45" s="497"/>
      <c r="J45" s="1313" t="s">
        <v>2058</v>
      </c>
      <c r="K45" s="1313" cm="1" t="str">
        <f t="array" ref="K45:K45">OFFSET(J45,-1,1)</f>
        <v>0</v>
      </c>
      <c r="L45" s="1313"/>
      <c r="M45" s="1313"/>
      <c r="N45" s="1313" t="s">
        <v>2080</v>
      </c>
      <c r="O45" s="1314" t="s">
        <v>2081</v>
      </c>
      <c r="P45" s="1313"/>
      <c r="Q45" s="1313" cm="1" t="str">
        <f t="array" ref="Q45:Q45">AB45</f>
        <v>0</v>
      </c>
      <c r="R45" s="926"/>
      <c r="S45" s="497"/>
      <c r="T45" s="805">
        <f>AND(OFFSET(S45,1,1),Y45&gt;0)</f>
        <v>0</v>
      </c>
      <c r="U45" s="1437"/>
      <c r="V45" s="1437"/>
      <c r="W45" s="1437" t="s">
        <v>235</v>
      </c>
      <c r="X45" s="1437"/>
      <c r="Y45" s="1437">
        <v>0</v>
      </c>
      <c r="Z45" s="1437"/>
      <c r="AA45" s="1385" t="s">
        <v>219</v>
      </c>
      <c r="AB45" s="2067"/>
      <c r="AC45" s="1443" t="s">
        <v>889</v>
      </c>
      <c r="AD45" s="2068"/>
      <c r="AE45" s="2068"/>
      <c r="AF45" s="690">
        <f>IF(AD45=0,0,(AE45-AD45)/AD45*100)</f>
        <v>0</v>
      </c>
      <c r="AG45" s="2065"/>
      <c r="AH45" s="2065"/>
      <c r="AI45" s="690">
        <f>IF(AG45=0,0,(AH45-AG45)/AG45*100)</f>
        <v>0</v>
      </c>
      <c r="AJ45" s="2065"/>
      <c r="AK45" s="2065"/>
      <c r="AL45" s="690">
        <f>IF(AJ45=0,0,(AK45-AJ45)/AJ45*100)</f>
        <v>0</v>
      </c>
      <c r="AM45" s="2068"/>
      <c r="AN45" s="2068"/>
      <c r="AO45" s="690">
        <f>IF(AM45=0,0,(AN45-AM45)/AM45*100)</f>
        <v>0</v>
      </c>
      <c r="AP45" s="2068"/>
      <c r="AQ45" s="2068"/>
      <c r="AR45" s="690">
        <f>IF(AP45=0,0,(AQ45-AP45)/AP45*100)</f>
        <v>0</v>
      </c>
      <c r="AS45" s="2068"/>
      <c r="AT45" s="2068"/>
      <c r="AU45" s="690">
        <f>IF(AS45=0,0,(AT45-AS45)/AS45*100)</f>
        <v>0</v>
      </c>
      <c r="AV45" s="2068"/>
      <c r="AW45" s="2068"/>
      <c r="AX45" s="690">
        <f>IF(AV45=0,0,(AW45-AV45)/AV45*100)</f>
        <v>0</v>
      </c>
      <c r="AY45" s="2068"/>
      <c r="AZ45" s="2068"/>
      <c r="BA45" s="690">
        <f>IF(AY45=0,0,(AZ45-AY45)/AY45*100)</f>
        <v>0</v>
      </c>
      <c r="BB45" s="2068"/>
      <c r="BC45" s="2068"/>
      <c r="BD45" s="690">
        <f>IF(BB45=0,0,(BC45-BB45)/BB45*100)</f>
        <v>0</v>
      </c>
      <c r="BE45" s="2068"/>
      <c r="BF45" s="2068"/>
      <c r="BG45" s="690">
        <f>IF(BE45=0,0,(BF45-BE45)/BE45*100)</f>
        <v>0</v>
      </c>
      <c r="BH45" s="2068"/>
      <c r="BI45" s="2068"/>
      <c r="BJ45" s="690">
        <f>IF(BH45=0,0,(BI45-BH45)/BH45*100)</f>
        <v>0</v>
      </c>
      <c r="BK45" s="2068"/>
      <c r="BL45" s="2068"/>
      <c r="BM45" s="690">
        <f>IF(BK45=0,0,(BL45-BK45)/BK45*100)</f>
        <v>0</v>
      </c>
      <c r="BN45" s="2068"/>
      <c r="BO45" s="2068"/>
      <c r="BP45" s="690">
        <f>IF(BN45=0,0,(BO45-BN45)/BN45*100)</f>
        <v>0</v>
      </c>
      <c r="BQ45" s="2068"/>
      <c r="BR45" s="2068"/>
      <c r="BS45" s="690">
        <f>IF(BQ45=0,0,(BR45-BQ45)/BQ45*100)</f>
        <v>0</v>
      </c>
      <c r="BT45" s="2068"/>
      <c r="BU45" s="2068"/>
      <c r="BV45" s="690">
        <f>IF(BT45=0,0,(BU45-BT45)/BT45*100)</f>
        <v>0</v>
      </c>
      <c r="BW45" s="2068"/>
      <c r="BX45" s="2068"/>
      <c r="BY45" s="690">
        <f>IF(BW45=0,0,(BX45-BW45)/BW45*100)</f>
        <v>0</v>
      </c>
      <c r="BZ45" s="2068"/>
      <c r="CA45" s="2068"/>
      <c r="CB45" s="690">
        <f>IF(BZ45=0,0,(CA45-BZ45)/BZ45*100)</f>
        <v>0</v>
      </c>
      <c r="CC45" s="2068"/>
      <c r="CD45" s="2068"/>
      <c r="CE45" s="690">
        <f>IF(CC45=0,0,(CD45-CC45)/CC45*100)</f>
        <v>0</v>
      </c>
      <c r="CF45" s="2068"/>
      <c r="CG45" s="2068"/>
      <c r="CH45" s="690">
        <f>IF(CF45=0,0,(CG45-CF45)/CF45*100)</f>
        <v>0</v>
      </c>
      <c r="CI45" s="2068"/>
      <c r="CJ45" s="2068"/>
      <c r="CK45" s="690">
        <f>IF(CI45=0,0,(CJ45-CI45)/CI45*100)</f>
        <v>0</v>
      </c>
      <c r="CL45" s="2068"/>
      <c r="CM45" s="2068"/>
      <c r="CN45" s="690">
        <f>IF(CL45=0,0,(CM45-CL45)/CL45*100)</f>
        <v>0</v>
      </c>
      <c r="CO45" s="2068"/>
      <c r="CP45" s="2068"/>
      <c r="CQ45" s="690">
        <f>IF(CO45=0,0,(CP45-CO45)/CO45*100)</f>
        <v>0</v>
      </c>
      <c r="CR45" s="2068"/>
      <c r="CS45" s="2068"/>
      <c r="CT45" s="690">
        <f>IF(CR45=0,0,(CS45-CR45)/CR45*100)</f>
        <v>0</v>
      </c>
      <c r="CU45" s="2068"/>
      <c r="CV45" s="2068"/>
      <c r="CW45" s="690">
        <f>IF(CU45=0,0,(CV45-CU45)/CU45*100)</f>
        <v>0</v>
      </c>
      <c r="CX45" s="2068"/>
      <c r="CY45" s="2068"/>
      <c r="CZ45" s="690">
        <f>IF(CX45=0,0,(CY45-CX45)/CX45*100)</f>
        <v>0</v>
      </c>
      <c r="DA45" s="2068"/>
      <c r="DB45" s="2068"/>
      <c r="DC45" s="690">
        <f>IF(DA45=0,0,(DB45-DA45)/DA45*100)</f>
        <v>0</v>
      </c>
      <c r="DD45" s="2068"/>
      <c r="DE45" s="2068"/>
      <c r="DF45" s="690">
        <f>IF(DD45=0,0,(DE45-DD45)/DD45*100)</f>
        <v>0</v>
      </c>
      <c r="DG45" s="2068"/>
      <c r="DH45" s="2068"/>
      <c r="DI45" s="690">
        <f>IF(DG45=0,0,(DH45-DG45)/DG45*100)</f>
        <v>0</v>
      </c>
      <c r="DJ45" s="2068"/>
      <c r="DK45" s="2068"/>
      <c r="DL45" s="690">
        <f>IF(DJ45=0,0,(DK45-DJ45)/DJ45*100)</f>
        <v>0</v>
      </c>
      <c r="DM45" s="2068"/>
      <c r="DN45" s="2068"/>
      <c r="DO45" s="690">
        <f>IF(DM45=0,0,(DN45-DM45)/DM45*100)</f>
        <v>0</v>
      </c>
      <c r="DP45" s="2068"/>
      <c r="DQ45" s="2068"/>
      <c r="DR45" s="690">
        <f>IF(DP45=0,0,(DQ45-DP45)/DP45*100)</f>
        <v>0</v>
      </c>
      <c r="DS45" s="2068"/>
      <c r="DT45" s="2068"/>
      <c r="DU45" s="690">
        <f>IF(DS45=0,0,(DT45-DS45)/DS45*100)</f>
        <v>0</v>
      </c>
      <c r="DV45" s="2068"/>
      <c r="DW45" s="2068"/>
      <c r="DX45" s="690">
        <f>IF(DV45=0,0,(DW45-DV45)/DV45*100)</f>
        <v>0</v>
      </c>
      <c r="DY45" s="2068"/>
      <c r="DZ45" s="2068"/>
      <c r="EA45" s="690">
        <f>IF(DY45=0,0,(DZ45-DY45)/DY45*100)</f>
        <v>0</v>
      </c>
      <c r="EB45" s="2068"/>
      <c r="EC45" s="2068"/>
      <c r="ED45" s="690">
        <f>IF(EB45=0,0,(EC45-EB45)/EB45*100)</f>
        <v>0</v>
      </c>
      <c r="EE45" s="2068"/>
      <c r="EF45" s="2068"/>
      <c r="EG45" s="690">
        <f>IF(EE45=0,0,(EF45-EE45)/EE45*100)</f>
        <v>0</v>
      </c>
      <c r="EH45" s="2068"/>
      <c r="EI45" s="2068"/>
      <c r="EJ45" s="690">
        <f>IF(EH45=0,0,(EI45-EH45)/EH45*100)</f>
        <v>0</v>
      </c>
      <c r="EK45" s="2068"/>
      <c r="EL45" s="2068"/>
      <c r="EM45" s="690">
        <f>IF(EK45=0,0,(EL45-EK45)/EK45*100)</f>
        <v>0</v>
      </c>
      <c r="EN45" s="2068"/>
      <c r="EO45" s="2068"/>
      <c r="EP45" s="690">
        <f>IF(EN45=0,0,(EO45-EN45)/EN45*100)</f>
        <v>0</v>
      </c>
      <c r="EQ45" s="2068"/>
      <c r="ER45" s="2068"/>
      <c r="ES45" s="690">
        <f>IF(EQ45=0,0,(ER45-EQ45)/EQ45*100)</f>
        <v>0</v>
      </c>
      <c r="ET45" s="2068"/>
      <c r="EU45" s="2068"/>
      <c r="EV45" s="690">
        <f>IF(ET45=0,0,(EU45-ET45)/ET45*100)</f>
        <v>0</v>
      </c>
      <c r="EW45" s="2068"/>
      <c r="EX45" s="2068"/>
      <c r="EY45" s="690">
        <f>IF(EW45=0,0,(EX45-EW45)/EW45*100)</f>
        <v>0</v>
      </c>
      <c r="EZ45" s="2068"/>
      <c r="FA45" s="2068"/>
      <c r="FB45" s="690">
        <f>IF(EZ45=0,0,(FA45-EZ45)/EZ45*100)</f>
        <v>0</v>
      </c>
      <c r="FC45" s="2068"/>
      <c r="FD45" s="2068"/>
      <c r="FE45" s="690">
        <f>IF(FC45=0,0,(FD45-FC45)/FC45*100)</f>
        <v>0</v>
      </c>
      <c r="FF45" s="2068"/>
      <c r="FG45" s="2068"/>
      <c r="FH45" s="690">
        <f>IF(FF45=0,0,(FG45-FF45)/FF45*100)</f>
        <v>0</v>
      </c>
      <c r="FI45" s="2068"/>
      <c r="FJ45" s="2068"/>
      <c r="FK45" s="690">
        <f>IF(FI45=0,0,(FJ45-FI45)/FI45*100)</f>
        <v>0</v>
      </c>
      <c r="FL45" s="2068"/>
      <c r="FM45" s="2068"/>
      <c r="FN45" s="690">
        <f>IF(FL45=0,0,(FM45-FL45)/FL45*100)</f>
        <v>0</v>
      </c>
      <c r="FO45" s="2068"/>
      <c r="FP45" s="2068"/>
      <c r="FQ45" s="690">
        <f>IF(FO45=0,0,(FP45-FO45)/FO45*100)</f>
        <v>0</v>
      </c>
      <c r="FR45" s="2068"/>
      <c r="FS45" s="2068"/>
      <c r="FT45" s="690">
        <f>IF(FR45=0,0,(FS45-FR45)/FR45*100)</f>
        <v>0</v>
      </c>
      <c r="FU45" s="2068"/>
      <c r="FV45" s="2068"/>
      <c r="FW45" s="690">
        <f>IF(FU45=0,0,(FV45-FU45)/FU45*100)</f>
        <v>0</v>
      </c>
      <c r="FX45" s="497"/>
      <c r="FY45" s="497"/>
      <c r="FZ45" s="1217" t="s">
        <v>2096</v>
      </c>
      <c r="GA45" s="1217" t="s">
        <v>2097</v>
      </c>
      <c r="GB45" s="1217" cm="1" t="str">
        <f t="array" ref="GB45:GB45">AB45</f>
        <v>0</v>
      </c>
      <c r="GC45" s="1217"/>
      <c r="GD45" s="1217" t="b">
        <v>1</v>
      </c>
    </row>
    <row s="1642" customFormat="1" customHeight="1" ht="16.5" hidden="1">
      <c r="A46" s="1437"/>
      <c r="B46" s="962" cm="1" t="str">
        <f t="array" ref="B46:B46">OFFSET(A46,-1,1)</f>
        <v>false</v>
      </c>
      <c r="C46" s="1323" t="s">
        <v>1689</v>
      </c>
      <c r="D46" s="1292" t="s">
        <v>1690</v>
      </c>
      <c r="E46" s="923">
        <v>17.1</v>
      </c>
      <c r="F46" s="920" cm="1" t="str">
        <f t="array" ref="F46:F46">OFFSET(G46,-1,-1)</f>
        <v>0</v>
      </c>
      <c r="G46" s="497"/>
      <c r="H46" s="497"/>
      <c r="I46" s="497"/>
      <c r="J46" s="1313" t="s">
        <v>2058</v>
      </c>
      <c r="K46" s="1313" cm="1" t="str">
        <f t="array" ref="K46:K46">OFFSET(J46,-1,1)</f>
        <v>0</v>
      </c>
      <c r="L46" s="1313" t="s">
        <v>2072</v>
      </c>
      <c r="M46" s="1313"/>
      <c r="N46" s="1313" t="s">
        <v>2080</v>
      </c>
      <c r="O46" s="1314" t="s">
        <v>2081</v>
      </c>
      <c r="P46" s="1313"/>
      <c r="Q46" s="1313" cm="1" t="str">
        <f t="array" ref="Q46:Q46">AB45</f>
        <v>0</v>
      </c>
      <c r="R46" s="926"/>
      <c r="S46" s="497"/>
      <c r="T46" s="805">
        <f>AND(OFFSET(S46,1,1),Y45&gt;0)</f>
        <v>0</v>
      </c>
      <c r="U46" s="1437"/>
      <c r="V46" s="1437"/>
      <c r="W46" s="1437"/>
      <c r="X46" s="1437"/>
      <c r="Y46" s="1437"/>
      <c r="Z46" s="1437"/>
      <c r="AA46" s="1385"/>
      <c r="AB46" s="1353" t="s">
        <v>2098</v>
      </c>
      <c r="AC46" s="1443" t="s">
        <v>586</v>
      </c>
      <c r="AD46" s="2068"/>
      <c r="AE46" s="2068"/>
      <c r="AF46" s="690">
        <f>IF(AD46=0,0,(AE46-AD46)/AD46*100)</f>
        <v>0</v>
      </c>
      <c r="AG46" s="2065"/>
      <c r="AH46" s="2065"/>
      <c r="AI46" s="690">
        <f>IF(AG46=0,0,(AH46-AG46)/AG46*100)</f>
        <v>0</v>
      </c>
      <c r="AJ46" s="2065"/>
      <c r="AK46" s="2065"/>
      <c r="AL46" s="690">
        <f>IF(AJ46=0,0,(AK46-AJ46)/AJ46*100)</f>
        <v>0</v>
      </c>
      <c r="AM46" s="2068"/>
      <c r="AN46" s="2068"/>
      <c r="AO46" s="690">
        <f>IF(AM46=0,0,(AN46-AM46)/AM46*100)</f>
        <v>0</v>
      </c>
      <c r="AP46" s="2068"/>
      <c r="AQ46" s="2068"/>
      <c r="AR46" s="690">
        <f>IF(AP46=0,0,(AQ46-AP46)/AP46*100)</f>
        <v>0</v>
      </c>
      <c r="AS46" s="2068"/>
      <c r="AT46" s="2068"/>
      <c r="AU46" s="690">
        <f>IF(AS46=0,0,(AT46-AS46)/AS46*100)</f>
        <v>0</v>
      </c>
      <c r="AV46" s="2068"/>
      <c r="AW46" s="2068"/>
      <c r="AX46" s="690">
        <f>IF(AV46=0,0,(AW46-AV46)/AV46*100)</f>
        <v>0</v>
      </c>
      <c r="AY46" s="2068"/>
      <c r="AZ46" s="2068"/>
      <c r="BA46" s="690">
        <f>IF(AY46=0,0,(AZ46-AY46)/AY46*100)</f>
        <v>0</v>
      </c>
      <c r="BB46" s="2068"/>
      <c r="BC46" s="2068"/>
      <c r="BD46" s="690">
        <f>IF(BB46=0,0,(BC46-BB46)/BB46*100)</f>
        <v>0</v>
      </c>
      <c r="BE46" s="2068"/>
      <c r="BF46" s="2068"/>
      <c r="BG46" s="690">
        <f>IF(BE46=0,0,(BF46-BE46)/BE46*100)</f>
        <v>0</v>
      </c>
      <c r="BH46" s="2068"/>
      <c r="BI46" s="2068"/>
      <c r="BJ46" s="690">
        <f>IF(BH46=0,0,(BI46-BH46)/BH46*100)</f>
        <v>0</v>
      </c>
      <c r="BK46" s="2068"/>
      <c r="BL46" s="2068"/>
      <c r="BM46" s="690">
        <f>IF(BK46=0,0,(BL46-BK46)/BK46*100)</f>
        <v>0</v>
      </c>
      <c r="BN46" s="2068"/>
      <c r="BO46" s="2068"/>
      <c r="BP46" s="690">
        <f>IF(BN46=0,0,(BO46-BN46)/BN46*100)</f>
        <v>0</v>
      </c>
      <c r="BQ46" s="2068"/>
      <c r="BR46" s="2068"/>
      <c r="BS46" s="690">
        <f>IF(BQ46=0,0,(BR46-BQ46)/BQ46*100)</f>
        <v>0</v>
      </c>
      <c r="BT46" s="2068"/>
      <c r="BU46" s="2068"/>
      <c r="BV46" s="690">
        <f>IF(BT46=0,0,(BU46-BT46)/BT46*100)</f>
        <v>0</v>
      </c>
      <c r="BW46" s="2068"/>
      <c r="BX46" s="2068"/>
      <c r="BY46" s="690">
        <f>IF(BW46=0,0,(BX46-BW46)/BW46*100)</f>
        <v>0</v>
      </c>
      <c r="BZ46" s="2068"/>
      <c r="CA46" s="2068"/>
      <c r="CB46" s="690">
        <f>IF(BZ46=0,0,(CA46-BZ46)/BZ46*100)</f>
        <v>0</v>
      </c>
      <c r="CC46" s="2068"/>
      <c r="CD46" s="2068"/>
      <c r="CE46" s="690">
        <f>IF(CC46=0,0,(CD46-CC46)/CC46*100)</f>
        <v>0</v>
      </c>
      <c r="CF46" s="2068"/>
      <c r="CG46" s="2068"/>
      <c r="CH46" s="690">
        <f>IF(CF46=0,0,(CG46-CF46)/CF46*100)</f>
        <v>0</v>
      </c>
      <c r="CI46" s="2068"/>
      <c r="CJ46" s="2068"/>
      <c r="CK46" s="690">
        <f>IF(CI46=0,0,(CJ46-CI46)/CI46*100)</f>
        <v>0</v>
      </c>
      <c r="CL46" s="2068"/>
      <c r="CM46" s="2068"/>
      <c r="CN46" s="690">
        <f>IF(CL46=0,0,(CM46-CL46)/CL46*100)</f>
        <v>0</v>
      </c>
      <c r="CO46" s="2068"/>
      <c r="CP46" s="2068"/>
      <c r="CQ46" s="690">
        <f>IF(CO46=0,0,(CP46-CO46)/CO46*100)</f>
        <v>0</v>
      </c>
      <c r="CR46" s="2068"/>
      <c r="CS46" s="2068"/>
      <c r="CT46" s="690">
        <f>IF(CR46=0,0,(CS46-CR46)/CR46*100)</f>
        <v>0</v>
      </c>
      <c r="CU46" s="2068"/>
      <c r="CV46" s="2068"/>
      <c r="CW46" s="690">
        <f>IF(CU46=0,0,(CV46-CU46)/CU46*100)</f>
        <v>0</v>
      </c>
      <c r="CX46" s="2068"/>
      <c r="CY46" s="2068"/>
      <c r="CZ46" s="690">
        <f>IF(CX46=0,0,(CY46-CX46)/CX46*100)</f>
        <v>0</v>
      </c>
      <c r="DA46" s="2068"/>
      <c r="DB46" s="2068"/>
      <c r="DC46" s="690">
        <f>IF(DA46=0,0,(DB46-DA46)/DA46*100)</f>
        <v>0</v>
      </c>
      <c r="DD46" s="2068"/>
      <c r="DE46" s="2068"/>
      <c r="DF46" s="690">
        <f>IF(DD46=0,0,(DE46-DD46)/DD46*100)</f>
        <v>0</v>
      </c>
      <c r="DG46" s="2068"/>
      <c r="DH46" s="2068"/>
      <c r="DI46" s="690">
        <f>IF(DG46=0,0,(DH46-DG46)/DG46*100)</f>
        <v>0</v>
      </c>
      <c r="DJ46" s="2068"/>
      <c r="DK46" s="2068"/>
      <c r="DL46" s="690">
        <f>IF(DJ46=0,0,(DK46-DJ46)/DJ46*100)</f>
        <v>0</v>
      </c>
      <c r="DM46" s="2068"/>
      <c r="DN46" s="2068"/>
      <c r="DO46" s="690">
        <f>IF(DM46=0,0,(DN46-DM46)/DM46*100)</f>
        <v>0</v>
      </c>
      <c r="DP46" s="2068"/>
      <c r="DQ46" s="2068"/>
      <c r="DR46" s="690">
        <f>IF(DP46=0,0,(DQ46-DP46)/DP46*100)</f>
        <v>0</v>
      </c>
      <c r="DS46" s="2068"/>
      <c r="DT46" s="2068"/>
      <c r="DU46" s="690">
        <f>IF(DS46=0,0,(DT46-DS46)/DS46*100)</f>
        <v>0</v>
      </c>
      <c r="DV46" s="2068"/>
      <c r="DW46" s="2068"/>
      <c r="DX46" s="690">
        <f>IF(DV46=0,0,(DW46-DV46)/DV46*100)</f>
        <v>0</v>
      </c>
      <c r="DY46" s="2068"/>
      <c r="DZ46" s="2068"/>
      <c r="EA46" s="690">
        <f>IF(DY46=0,0,(DZ46-DY46)/DY46*100)</f>
        <v>0</v>
      </c>
      <c r="EB46" s="2068"/>
      <c r="EC46" s="2068"/>
      <c r="ED46" s="690">
        <f>IF(EB46=0,0,(EC46-EB46)/EB46*100)</f>
        <v>0</v>
      </c>
      <c r="EE46" s="2068"/>
      <c r="EF46" s="2068"/>
      <c r="EG46" s="690">
        <f>IF(EE46=0,0,(EF46-EE46)/EE46*100)</f>
        <v>0</v>
      </c>
      <c r="EH46" s="2068"/>
      <c r="EI46" s="2068"/>
      <c r="EJ46" s="690">
        <f>IF(EH46=0,0,(EI46-EH46)/EH46*100)</f>
        <v>0</v>
      </c>
      <c r="EK46" s="2068"/>
      <c r="EL46" s="2068"/>
      <c r="EM46" s="690">
        <f>IF(EK46=0,0,(EL46-EK46)/EK46*100)</f>
        <v>0</v>
      </c>
      <c r="EN46" s="2068"/>
      <c r="EO46" s="2068"/>
      <c r="EP46" s="690">
        <f>IF(EN46=0,0,(EO46-EN46)/EN46*100)</f>
        <v>0</v>
      </c>
      <c r="EQ46" s="2068"/>
      <c r="ER46" s="2068"/>
      <c r="ES46" s="690">
        <f>IF(EQ46=0,0,(ER46-EQ46)/EQ46*100)</f>
        <v>0</v>
      </c>
      <c r="ET46" s="2068"/>
      <c r="EU46" s="2068"/>
      <c r="EV46" s="690">
        <f>IF(ET46=0,0,(EU46-ET46)/ET46*100)</f>
        <v>0</v>
      </c>
      <c r="EW46" s="2068"/>
      <c r="EX46" s="2068"/>
      <c r="EY46" s="690">
        <f>IF(EW46=0,0,(EX46-EW46)/EW46*100)</f>
        <v>0</v>
      </c>
      <c r="EZ46" s="2068"/>
      <c r="FA46" s="2068"/>
      <c r="FB46" s="690">
        <f>IF(EZ46=0,0,(FA46-EZ46)/EZ46*100)</f>
        <v>0</v>
      </c>
      <c r="FC46" s="2068"/>
      <c r="FD46" s="2068"/>
      <c r="FE46" s="690">
        <f>IF(FC46=0,0,(FD46-FC46)/FC46*100)</f>
        <v>0</v>
      </c>
      <c r="FF46" s="2068"/>
      <c r="FG46" s="2068"/>
      <c r="FH46" s="690">
        <f>IF(FF46=0,0,(FG46-FF46)/FF46*100)</f>
        <v>0</v>
      </c>
      <c r="FI46" s="2068"/>
      <c r="FJ46" s="2068"/>
      <c r="FK46" s="690">
        <f>IF(FI46=0,0,(FJ46-FI46)/FI46*100)</f>
        <v>0</v>
      </c>
      <c r="FL46" s="2068"/>
      <c r="FM46" s="2068"/>
      <c r="FN46" s="690">
        <f>IF(FL46=0,0,(FM46-FL46)/FL46*100)</f>
        <v>0</v>
      </c>
      <c r="FO46" s="2068"/>
      <c r="FP46" s="2068"/>
      <c r="FQ46" s="690">
        <f>IF(FO46=0,0,(FP46-FO46)/FO46*100)</f>
        <v>0</v>
      </c>
      <c r="FR46" s="2068"/>
      <c r="FS46" s="2068"/>
      <c r="FT46" s="690">
        <f>IF(FR46=0,0,(FS46-FR46)/FR46*100)</f>
        <v>0</v>
      </c>
      <c r="FU46" s="2068"/>
      <c r="FV46" s="2068"/>
      <c r="FW46" s="690">
        <f>IF(FU46=0,0,(FV46-FU46)/FU46*100)</f>
        <v>0</v>
      </c>
      <c r="FX46" s="497"/>
      <c r="FY46" s="497"/>
      <c r="FZ46" s="1217" t="s">
        <v>2091</v>
      </c>
      <c r="GA46" s="1217" t="s">
        <v>2097</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2099</v>
      </c>
      <c r="AB47" s="898"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2097</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2100</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2101</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2102</v>
      </c>
      <c r="D50" s="1292" t="s">
        <v>2103</v>
      </c>
      <c r="E50" s="794">
        <v>15.8</v>
      </c>
      <c r="F50" s="920" cm="1" t="str">
        <f t="array" ref="F50:F50">OFFSET(G50,-1,-1)</f>
        <v>0</v>
      </c>
      <c r="G50" s="736" t="s">
        <v>1697</v>
      </c>
      <c r="H50" s="210" t="s">
        <v>2104</v>
      </c>
      <c r="I50" s="210" t="s">
        <v>2057</v>
      </c>
      <c r="J50" s="1313"/>
      <c r="K50" s="1313" cm="1" t="str">
        <f t="array" ref="K50:K50">OFFSET(J50,-1,1)</f>
        <v>0</v>
      </c>
      <c r="L50" s="1313"/>
      <c r="M50" s="1313" t="s">
        <v>1692</v>
      </c>
      <c r="N50" s="1313" t="s">
        <v>2060</v>
      </c>
      <c r="O50" s="1314" t="s">
        <v>2061</v>
      </c>
      <c r="P50" s="1313" t="s">
        <v>2105</v>
      </c>
      <c r="Q50" s="1313"/>
      <c r="T50" s="805" cm="1" t="str">
        <f t="array" ref="T50:T50">T49</f>
        <v>false</v>
      </c>
      <c r="AB50" s="273" t="s">
        <v>2106</v>
      </c>
      <c r="AC50" s="169" t="s">
        <v>889</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1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1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1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1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2107</v>
      </c>
      <c r="GA50" s="1217"/>
      <c r="GB50" s="1217"/>
      <c r="GC50" s="1217"/>
      <c r="GD50" s="1217"/>
    </row>
    <row customHeight="1" ht="15.405000000000001" hidden="1">
      <c r="B51" s="962" cm="1" t="str">
        <f t="array" ref="B51:B51">B50</f>
        <v>false</v>
      </c>
      <c r="C51" s="1323" t="s">
        <v>2108</v>
      </c>
      <c r="D51" s="1292" t="s">
        <v>2109</v>
      </c>
      <c r="E51" s="794">
        <v>15.8</v>
      </c>
      <c r="F51" s="920" cm="1" t="str">
        <f t="array" ref="F51:F51">OFFSET(G51,-1,-1)</f>
        <v>0</v>
      </c>
      <c r="G51" s="736" t="s">
        <v>1730</v>
      </c>
      <c r="H51" s="210" t="s">
        <v>2110</v>
      </c>
      <c r="I51" s="210" t="s">
        <v>2057</v>
      </c>
      <c r="J51" s="1313"/>
      <c r="K51" s="1313" cm="1" t="str">
        <f t="array" ref="K51:K51">OFFSET(J51,-1,1)</f>
        <v>0</v>
      </c>
      <c r="L51" s="1313"/>
      <c r="M51" s="1313" t="s">
        <v>1692</v>
      </c>
      <c r="N51" s="1313" t="s">
        <v>2060</v>
      </c>
      <c r="O51" s="1314" t="s">
        <v>2061</v>
      </c>
      <c r="P51" s="1313" t="s">
        <v>2111</v>
      </c>
      <c r="Q51" s="1313"/>
      <c r="T51" s="805" cm="1" t="str">
        <f t="array" ref="T51:T51">T50</f>
        <v>false</v>
      </c>
      <c r="AB51" s="273" t="s">
        <v>2112</v>
      </c>
      <c r="AC51" s="169" t="s">
        <v>889</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1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1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1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1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2113</v>
      </c>
      <c r="GA51" s="1217"/>
      <c r="GB51" s="1217"/>
      <c r="GC51" s="1217"/>
      <c r="GD51" s="1217"/>
    </row>
    <row customHeight="1" ht="15.405000000000001" hidden="1">
      <c r="B52" s="962" cm="1" t="str">
        <f t="array" ref="B52:B52">B51</f>
        <v>false</v>
      </c>
      <c r="C52" s="1323" t="s">
        <v>1689</v>
      </c>
      <c r="D52" s="1292" t="s">
        <v>1690</v>
      </c>
      <c r="E52" s="794">
        <v>15.8</v>
      </c>
      <c r="F52" s="920" cm="1" t="str">
        <f t="array" ref="F52:F52">OFFSET(G52,-1,-1)</f>
        <v>0</v>
      </c>
      <c r="G52" s="190" t="s">
        <v>1691</v>
      </c>
      <c r="H52" s="210" t="s">
        <v>2114</v>
      </c>
      <c r="I52" s="210" t="s">
        <v>2057</v>
      </c>
      <c r="J52" s="1313"/>
      <c r="K52" s="1313" cm="1" t="str">
        <f t="array" ref="K52:K52">OFFSET(J52,-1,1)</f>
        <v>0</v>
      </c>
      <c r="L52" s="1313"/>
      <c r="M52" s="1313" t="s">
        <v>1692</v>
      </c>
      <c r="N52" s="1313" t="s">
        <v>2060</v>
      </c>
      <c r="O52" s="1314" t="s">
        <v>2061</v>
      </c>
      <c r="P52" s="1313" t="s">
        <v>2115</v>
      </c>
      <c r="Q52" s="1313"/>
      <c r="T52" s="805" cm="1" t="str">
        <f t="array" ref="T52:T52">T51</f>
        <v>false</v>
      </c>
      <c r="AB52" s="273" t="s">
        <v>2116</v>
      </c>
      <c r="AC52" s="169" t="s">
        <v>586</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063">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63">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063">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63">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2117</v>
      </c>
      <c r="GA52" s="1217"/>
      <c r="GB52" s="1217"/>
      <c r="GC52" s="1217"/>
      <c r="GD52" s="1217"/>
    </row>
    <row customHeight="1" ht="30.712500000000002" hidden="1">
      <c r="B53" s="962" cm="1" t="str">
        <f t="array" ref="B53:B53">B52</f>
        <v>false</v>
      </c>
      <c r="C53" s="1323" t="s">
        <v>1743</v>
      </c>
      <c r="D53" s="1292" t="s">
        <v>1744</v>
      </c>
      <c r="E53" s="794">
        <v>31.5</v>
      </c>
      <c r="F53" s="920" cm="1" t="str">
        <f t="array" ref="F53:F53">OFFSET(G53,-1,-1)</f>
        <v>0</v>
      </c>
      <c r="G53" s="736" t="s">
        <v>1745</v>
      </c>
      <c r="H53" s="210" t="s">
        <v>2118</v>
      </c>
      <c r="I53" s="210" t="s">
        <v>2057</v>
      </c>
      <c r="J53" s="1313"/>
      <c r="K53" s="1313" cm="1" t="str">
        <f t="array" ref="K53:K53">OFFSET(J53,-1,1)</f>
        <v>0</v>
      </c>
      <c r="L53" s="1313"/>
      <c r="M53" s="1313" t="s">
        <v>1692</v>
      </c>
      <c r="N53" s="1313" t="s">
        <v>2060</v>
      </c>
      <c r="O53" s="1314" t="s">
        <v>2061</v>
      </c>
      <c r="P53" s="1313" t="s">
        <v>2119</v>
      </c>
      <c r="Q53" s="1313"/>
      <c r="T53" s="805" cm="1" t="str">
        <f t="array" ref="T53:T53">T52</f>
        <v>false</v>
      </c>
      <c r="AB53" s="273" t="s">
        <v>2120</v>
      </c>
      <c r="AC53" s="517" t="s">
        <v>1747</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1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1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1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1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2121</v>
      </c>
      <c r="GA53" s="1217"/>
      <c r="GB53" s="1217"/>
      <c r="GC53" s="1217"/>
      <c r="GD53" s="1217"/>
    </row>
    <row customHeight="1" ht="15.405000000000001" hidden="1">
      <c r="B54" s="962" cm="1" t="str">
        <f t="array" ref="B54:B54">B53</f>
        <v>false</v>
      </c>
      <c r="C54" s="1323" t="s">
        <v>1715</v>
      </c>
      <c r="D54" s="1292" t="s">
        <v>1716</v>
      </c>
      <c r="E54" s="794">
        <v>15.8</v>
      </c>
      <c r="F54" s="920" cm="1" t="str">
        <f t="array" ref="F54:F54">OFFSET(G54,-1,-1)</f>
        <v>0</v>
      </c>
      <c r="G54" s="736" t="s">
        <v>1719</v>
      </c>
      <c r="H54" s="210" t="s">
        <v>2122</v>
      </c>
      <c r="I54" s="210" t="s">
        <v>2057</v>
      </c>
      <c r="J54" s="1313"/>
      <c r="K54" s="1313" cm="1" t="str">
        <f t="array" ref="K54:K54">OFFSET(J54,-1,1)</f>
        <v>0</v>
      </c>
      <c r="L54" s="1313"/>
      <c r="M54" s="1313" t="s">
        <v>1692</v>
      </c>
      <c r="N54" s="1313" t="s">
        <v>2060</v>
      </c>
      <c r="O54" s="1314" t="s">
        <v>2061</v>
      </c>
      <c r="P54" s="1313" t="s">
        <v>2123</v>
      </c>
      <c r="Q54" s="1313"/>
      <c r="T54" s="805" cm="1" t="str">
        <f t="array" ref="T54:T54">T53</f>
        <v>false</v>
      </c>
      <c r="AB54" s="273" t="s">
        <v>2124</v>
      </c>
      <c r="AC54" s="664" t="s">
        <v>684</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1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1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1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1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2125</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2126</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2102</v>
      </c>
      <c r="D56" s="1292" t="s">
        <v>2103</v>
      </c>
      <c r="E56" s="794">
        <v>15.8</v>
      </c>
      <c r="F56" s="920" cm="1" t="str">
        <f t="array" ref="F56:F56">OFFSET(G56,-1,-1)</f>
        <v>0</v>
      </c>
      <c r="G56" s="736" t="s">
        <v>1704</v>
      </c>
      <c r="H56" s="210" t="s">
        <v>2104</v>
      </c>
      <c r="I56" s="210" t="s">
        <v>2064</v>
      </c>
      <c r="J56" s="1313"/>
      <c r="K56" s="1313" cm="1" t="str">
        <f t="array" ref="K56:K56">OFFSET(J56,-1,1)</f>
        <v>0</v>
      </c>
      <c r="L56" s="1313"/>
      <c r="M56" s="1313" t="s">
        <v>1701</v>
      </c>
      <c r="N56" s="1313" t="s">
        <v>2060</v>
      </c>
      <c r="O56" s="1314" t="s">
        <v>2061</v>
      </c>
      <c r="P56" s="1313" t="s">
        <v>2105</v>
      </c>
      <c r="Q56" s="1313"/>
      <c r="T56" s="805" cm="1" t="str">
        <f t="array" ref="T56:T56">T55</f>
        <v>false</v>
      </c>
      <c r="AB56" s="273" t="s">
        <v>2106</v>
      </c>
      <c r="AC56" s="169" t="s">
        <v>889</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1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1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1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1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2127</v>
      </c>
      <c r="GA56" s="1217"/>
      <c r="GB56" s="1217"/>
      <c r="GC56" s="1217"/>
      <c r="GD56" s="1217"/>
    </row>
    <row customHeight="1" ht="15.405000000000001" hidden="1">
      <c r="B57" s="962" cm="1" t="str">
        <f t="array" ref="B57:B57">B56</f>
        <v>false</v>
      </c>
      <c r="C57" s="1323" t="s">
        <v>2108</v>
      </c>
      <c r="D57" s="1292" t="s">
        <v>2109</v>
      </c>
      <c r="E57" s="794">
        <v>15.8</v>
      </c>
      <c r="F57" s="920" cm="1" t="str">
        <f t="array" ref="F57:F57">OFFSET(G57,-1,-1)</f>
        <v>0</v>
      </c>
      <c r="G57" s="736" t="s">
        <v>1733</v>
      </c>
      <c r="H57" s="210" t="s">
        <v>2110</v>
      </c>
      <c r="I57" s="210" t="s">
        <v>2064</v>
      </c>
      <c r="J57" s="1313"/>
      <c r="K57" s="1313" cm="1" t="str">
        <f t="array" ref="K57:K57">OFFSET(J57,-1,1)</f>
        <v>0</v>
      </c>
      <c r="L57" s="1313"/>
      <c r="M57" s="1313" t="s">
        <v>1701</v>
      </c>
      <c r="N57" s="1313" t="s">
        <v>2060</v>
      </c>
      <c r="O57" s="1314" t="s">
        <v>2061</v>
      </c>
      <c r="P57" s="1313" t="s">
        <v>2111</v>
      </c>
      <c r="Q57" s="1313"/>
      <c r="T57" s="805" cm="1" t="str">
        <f t="array" ref="T57:T57">T56</f>
        <v>false</v>
      </c>
      <c r="AB57" s="273" t="s">
        <v>2112</v>
      </c>
      <c r="AC57" s="169" t="s">
        <v>889</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1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1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1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1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2128</v>
      </c>
      <c r="GA57" s="1217"/>
      <c r="GB57" s="1217"/>
      <c r="GC57" s="1217"/>
      <c r="GD57" s="1217"/>
    </row>
    <row customHeight="1" ht="15.405000000000001" hidden="1">
      <c r="B58" s="962" cm="1" t="str">
        <f t="array" ref="B58:B58">B57</f>
        <v>false</v>
      </c>
      <c r="C58" s="1323" t="s">
        <v>1689</v>
      </c>
      <c r="D58" s="1292" t="s">
        <v>1690</v>
      </c>
      <c r="E58" s="794">
        <v>15.8</v>
      </c>
      <c r="F58" s="920" cm="1" t="str">
        <f t="array" ref="F58:F58">OFFSET(G58,-1,-1)</f>
        <v>0</v>
      </c>
      <c r="G58" s="190" t="s">
        <v>1700</v>
      </c>
      <c r="H58" s="210" t="s">
        <v>2114</v>
      </c>
      <c r="I58" s="210" t="s">
        <v>2064</v>
      </c>
      <c r="J58" s="1313"/>
      <c r="K58" s="1313" cm="1" t="str">
        <f t="array" ref="K58:K58">OFFSET(J58,-1,1)</f>
        <v>0</v>
      </c>
      <c r="L58" s="1313"/>
      <c r="M58" s="1313" t="s">
        <v>1701</v>
      </c>
      <c r="N58" s="1313" t="s">
        <v>2060</v>
      </c>
      <c r="O58" s="1314" t="s">
        <v>2061</v>
      </c>
      <c r="P58" s="1313" t="s">
        <v>2115</v>
      </c>
      <c r="Q58" s="1313"/>
      <c r="T58" s="805" cm="1" t="str">
        <f t="array" ref="T58:T58">T57</f>
        <v>false</v>
      </c>
      <c r="AB58" s="273" t="s">
        <v>2116</v>
      </c>
      <c r="AC58" s="169" t="s">
        <v>586</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063">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63">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063">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63">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2129</v>
      </c>
      <c r="GA58" s="1217"/>
      <c r="GB58" s="1217"/>
      <c r="GC58" s="1217"/>
      <c r="GD58" s="1217"/>
    </row>
    <row customHeight="1" ht="30.712500000000002" hidden="1">
      <c r="B59" s="962" cm="1" t="str">
        <f t="array" ref="B59:B59">B58</f>
        <v>false</v>
      </c>
      <c r="C59" s="1323" t="s">
        <v>1743</v>
      </c>
      <c r="D59" s="1292" t="s">
        <v>1744</v>
      </c>
      <c r="E59" s="794">
        <v>31.5</v>
      </c>
      <c r="F59" s="920" cm="1" t="str">
        <f t="array" ref="F59:F59">OFFSET(G59,-1,-1)</f>
        <v>0</v>
      </c>
      <c r="G59" s="736" t="s">
        <v>1749</v>
      </c>
      <c r="H59" s="210" t="s">
        <v>2118</v>
      </c>
      <c r="I59" s="210" t="s">
        <v>2064</v>
      </c>
      <c r="J59" s="1313"/>
      <c r="K59" s="1313" cm="1" t="str">
        <f t="array" ref="K59:K59">OFFSET(J59,-1,1)</f>
        <v>0</v>
      </c>
      <c r="L59" s="1313"/>
      <c r="M59" s="1313" t="s">
        <v>1701</v>
      </c>
      <c r="N59" s="1313" t="s">
        <v>2060</v>
      </c>
      <c r="O59" s="1314" t="s">
        <v>2061</v>
      </c>
      <c r="P59" s="1313" t="s">
        <v>2119</v>
      </c>
      <c r="Q59" s="1313"/>
      <c r="T59" s="805" cm="1" t="str">
        <f t="array" ref="T59:T59">T58</f>
        <v>false</v>
      </c>
      <c r="AB59" s="273" t="s">
        <v>2120</v>
      </c>
      <c r="AC59" s="517" t="s">
        <v>1747</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1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1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1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1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2130</v>
      </c>
      <c r="GA59" s="1217"/>
      <c r="GB59" s="1217"/>
      <c r="GC59" s="1217"/>
      <c r="GD59" s="1217"/>
    </row>
    <row customHeight="1" ht="15.405000000000001" hidden="1">
      <c r="B60" s="962" cm="1" t="str">
        <f t="array" ref="B60:B60">B59</f>
        <v>false</v>
      </c>
      <c r="C60" s="1323" t="s">
        <v>1715</v>
      </c>
      <c r="D60" s="1292" t="s">
        <v>1716</v>
      </c>
      <c r="E60" s="794">
        <v>15.8</v>
      </c>
      <c r="F60" s="920" cm="1" t="str">
        <f t="array" ref="F60:F60">OFFSET(G60,-1,-1)</f>
        <v>0</v>
      </c>
      <c r="G60" s="736" t="s">
        <v>1722</v>
      </c>
      <c r="H60" s="210" t="s">
        <v>2122</v>
      </c>
      <c r="I60" s="210" t="s">
        <v>2064</v>
      </c>
      <c r="J60" s="1313"/>
      <c r="K60" s="1313" cm="1" t="str">
        <f t="array" ref="K60:K60">OFFSET(J60,-1,1)</f>
        <v>0</v>
      </c>
      <c r="L60" s="1313"/>
      <c r="M60" s="1313" t="s">
        <v>1701</v>
      </c>
      <c r="N60" s="1313" t="s">
        <v>2060</v>
      </c>
      <c r="O60" s="1314" t="s">
        <v>2061</v>
      </c>
      <c r="P60" s="1313" t="s">
        <v>2123</v>
      </c>
      <c r="Q60" s="1313"/>
      <c r="T60" s="805" cm="1" t="str">
        <f t="array" ref="T60:T60">T59</f>
        <v>false</v>
      </c>
      <c r="AB60" s="273" t="s">
        <v>2124</v>
      </c>
      <c r="AC60" s="664" t="s">
        <v>684</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1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1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1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1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2131</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2082</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2132</v>
      </c>
      <c r="D62" s="1292" t="s">
        <v>2133</v>
      </c>
      <c r="E62" s="794">
        <v>15.8</v>
      </c>
      <c r="F62" s="920" cm="1" t="str">
        <f t="array" ref="F62:F62">OFFSET(G62,-1,-1)</f>
        <v>0</v>
      </c>
      <c r="H62" s="210" t="s">
        <v>2104</v>
      </c>
      <c r="I62" s="210" t="s">
        <v>2079</v>
      </c>
      <c r="J62" s="1313"/>
      <c r="K62" s="1313" cm="1" t="str">
        <f t="array" ref="K62:K62">OFFSET(J62,-1,1)</f>
        <v>0</v>
      </c>
      <c r="L62" s="1313"/>
      <c r="M62" s="1313" t="s">
        <v>1692</v>
      </c>
      <c r="N62" s="1313" t="s">
        <v>2080</v>
      </c>
      <c r="O62" s="1314" t="s">
        <v>2081</v>
      </c>
      <c r="P62" s="1313" t="s">
        <v>2105</v>
      </c>
      <c r="Q62" s="1313"/>
      <c r="T62" s="805" cm="1" t="str">
        <f t="array" ref="T62:T62">T61</f>
        <v>false</v>
      </c>
      <c r="AB62" s="273" t="s">
        <v>2106</v>
      </c>
      <c r="AC62" s="169" t="s">
        <v>889</v>
      </c>
      <c r="AD62" s="67">
        <f>IF(AD64=0,0,(AD63*AD64+AD65*AD66*IF(god=2026,9,6))/AD64)</f>
        <v>0</v>
      </c>
      <c r="AE62" s="67">
        <f>IF(AE64=0,0,(AE63*AE64+AE65*AE66*IF(god=2026,9,6))/AE64)</f>
        <v>0</v>
      </c>
      <c r="AF62" s="365">
        <f>IF(AD62=0,0,(AE62-AD62)/AD62*100)</f>
        <v>0</v>
      </c>
      <c r="AG62" s="1710">
        <f>IF(AG64=0,0,(AG63*AG64+AG65*AG66*IF(god=2025,9,6))/AG64)</f>
        <v>0</v>
      </c>
      <c r="AH62" s="1710">
        <f>IF(AH64=0,0,(AH63*AH64+AH65*AH66*IF(god=2025,9,6))/AH64)</f>
        <v>0</v>
      </c>
      <c r="AI62" s="365">
        <f>IF(AG62=0,0,(AH62-AG62)/AG62*100)</f>
        <v>0</v>
      </c>
      <c r="AJ62" s="1710">
        <f>IF(AJ64=0,0,(AJ63*AJ64+AJ65*AJ66*6)/AJ64)</f>
        <v>0</v>
      </c>
      <c r="AK62" s="1710">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2134</v>
      </c>
      <c r="GA62" s="1217"/>
      <c r="GB62" s="1217"/>
      <c r="GC62" s="1217"/>
      <c r="GD62" s="1217"/>
    </row>
    <row customHeight="1" ht="15.405000000000001" hidden="1">
      <c r="B63" s="962" cm="1" t="str">
        <f t="array" ref="B63:B63">B62</f>
        <v>false</v>
      </c>
      <c r="C63" s="1323" t="s">
        <v>2135</v>
      </c>
      <c r="D63" s="1292" t="s">
        <v>2136</v>
      </c>
      <c r="E63" s="794">
        <v>15.8</v>
      </c>
      <c r="F63" s="920" cm="1" t="str">
        <f t="array" ref="F63:F63">OFFSET(G63,-1,-1)</f>
        <v>0</v>
      </c>
      <c r="H63" s="210" t="s">
        <v>2110</v>
      </c>
      <c r="I63" s="210" t="s">
        <v>2079</v>
      </c>
      <c r="J63" s="1313"/>
      <c r="K63" s="1313" cm="1" t="str">
        <f t="array" ref="K63:K63">OFFSET(J63,-1,1)</f>
        <v>0</v>
      </c>
      <c r="L63" s="1313"/>
      <c r="M63" s="1313" t="s">
        <v>1692</v>
      </c>
      <c r="N63" s="1313" t="s">
        <v>2080</v>
      </c>
      <c r="O63" s="1314" t="s">
        <v>2081</v>
      </c>
      <c r="P63" s="1313" t="s">
        <v>2111</v>
      </c>
      <c r="Q63" s="1313"/>
      <c r="T63" s="805" cm="1" t="str">
        <f t="array" ref="T63:T63">T62</f>
        <v>false</v>
      </c>
      <c r="AB63" s="273" t="s">
        <v>2112</v>
      </c>
      <c r="AC63" s="169" t="s">
        <v>889</v>
      </c>
      <c r="AD63" s="67"/>
      <c r="AE63" s="67"/>
      <c r="AF63" s="365">
        <f>IF(AD63=0,0,(AE63-AD63)/AD63*100)</f>
        <v>0</v>
      </c>
      <c r="AG63" s="1710"/>
      <c r="AH63" s="1710"/>
      <c r="AI63" s="365">
        <f>IF(AG63=0,0,(AH63-AG63)/AG63*100)</f>
        <v>0</v>
      </c>
      <c r="AJ63" s="1710"/>
      <c r="AK63" s="1710"/>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2137</v>
      </c>
      <c r="GA63" s="1217"/>
      <c r="GB63" s="1217"/>
      <c r="GC63" s="1217"/>
      <c r="GD63" s="1217"/>
    </row>
    <row customHeight="1" ht="15.405000000000001" hidden="1">
      <c r="B64" s="962" cm="1" t="str">
        <f t="array" ref="B64:B64">B63</f>
        <v>false</v>
      </c>
      <c r="C64" s="1323" t="s">
        <v>1689</v>
      </c>
      <c r="D64" s="1292" t="s">
        <v>1690</v>
      </c>
      <c r="E64" s="794">
        <v>15.8</v>
      </c>
      <c r="F64" s="920" cm="1" t="str">
        <f t="array" ref="F64:F64">OFFSET(G64,-1,-1)</f>
        <v>0</v>
      </c>
      <c r="H64" s="210" t="s">
        <v>2114</v>
      </c>
      <c r="I64" s="210" t="s">
        <v>2079</v>
      </c>
      <c r="J64" s="1313"/>
      <c r="K64" s="1313" cm="1" t="str">
        <f t="array" ref="K64:K64">OFFSET(J64,-1,1)</f>
        <v>0</v>
      </c>
      <c r="L64" s="1313"/>
      <c r="M64" s="1313" t="s">
        <v>1692</v>
      </c>
      <c r="N64" s="1313" t="s">
        <v>2080</v>
      </c>
      <c r="O64" s="1314" t="s">
        <v>2081</v>
      </c>
      <c r="P64" s="1313" t="s">
        <v>2115</v>
      </c>
      <c r="Q64" s="1313"/>
      <c r="T64" s="805" cm="1" t="str">
        <f t="array" ref="T64:T64">T63</f>
        <v>false</v>
      </c>
      <c r="AB64" s="273" t="s">
        <v>2116</v>
      </c>
      <c r="AC64" s="169" t="s">
        <v>586</v>
      </c>
      <c r="AD64" s="147"/>
      <c r="AE64" s="147"/>
      <c r="AF64" s="397">
        <f>IF(AD64=0,0,(AE64-AD64)/AD64*100)</f>
        <v>0</v>
      </c>
      <c r="AG64" s="2063"/>
      <c r="AH64" s="2063"/>
      <c r="AI64" s="397">
        <f>IF(AG64=0,0,(AH64-AG64)/AG64*100)</f>
        <v>0</v>
      </c>
      <c r="AJ64" s="2063"/>
      <c r="AK64" s="2063"/>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2138</v>
      </c>
      <c r="GA64" s="1217"/>
      <c r="GB64" s="1217"/>
      <c r="GC64" s="1217"/>
      <c r="GD64" s="1217"/>
    </row>
    <row customHeight="1" ht="30.712500000000002" hidden="1">
      <c r="B65" s="962" cm="1" t="str">
        <f t="array" ref="B65:B65">B64</f>
        <v>false</v>
      </c>
      <c r="C65" s="1323" t="s">
        <v>1743</v>
      </c>
      <c r="D65" s="1292" t="s">
        <v>1744</v>
      </c>
      <c r="E65" s="794">
        <v>31.5</v>
      </c>
      <c r="F65" s="920" cm="1" t="str">
        <f t="array" ref="F65:F65">OFFSET(G65,-1,-1)</f>
        <v>0</v>
      </c>
      <c r="H65" s="210" t="s">
        <v>2118</v>
      </c>
      <c r="I65" s="210" t="s">
        <v>2079</v>
      </c>
      <c r="J65" s="1313"/>
      <c r="K65" s="1313" cm="1" t="str">
        <f t="array" ref="K65:K65">OFFSET(J65,-1,1)</f>
        <v>0</v>
      </c>
      <c r="L65" s="1313"/>
      <c r="M65" s="1313" t="s">
        <v>1692</v>
      </c>
      <c r="N65" s="1313" t="s">
        <v>2080</v>
      </c>
      <c r="O65" s="1314" t="s">
        <v>2081</v>
      </c>
      <c r="P65" s="1313" t="s">
        <v>2119</v>
      </c>
      <c r="Q65" s="1313"/>
      <c r="T65" s="805" cm="1" t="str">
        <f t="array" ref="T65:T65">T64</f>
        <v>false</v>
      </c>
      <c r="AB65" s="273" t="s">
        <v>2120</v>
      </c>
      <c r="AC65" s="517" t="s">
        <v>1747</v>
      </c>
      <c r="AD65" s="67"/>
      <c r="AE65" s="67"/>
      <c r="AF65" s="365">
        <f>IF(AD65=0,0,(AE65-AD65)/AD65*100)</f>
        <v>0</v>
      </c>
      <c r="AG65" s="1710"/>
      <c r="AH65" s="1710"/>
      <c r="AI65" s="365">
        <f>IF(AG65=0,0,(AH65-AG65)/AG65*100)</f>
        <v>0</v>
      </c>
      <c r="AJ65" s="1710"/>
      <c r="AK65" s="1710"/>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2139</v>
      </c>
      <c r="GA65" s="1217"/>
      <c r="GB65" s="1217"/>
      <c r="GC65" s="1217"/>
      <c r="GD65" s="1217"/>
    </row>
    <row customHeight="1" ht="15.405000000000001" hidden="1">
      <c r="B66" s="962" cm="1" t="str">
        <f t="array" ref="B66:B66">B65</f>
        <v>false</v>
      </c>
      <c r="C66" s="1323" t="s">
        <v>1715</v>
      </c>
      <c r="D66" s="1292" t="s">
        <v>1716</v>
      </c>
      <c r="E66" s="794">
        <v>15.8</v>
      </c>
      <c r="F66" s="920" cm="1" t="str">
        <f t="array" ref="F66:F66">OFFSET(G66,-1,-1)</f>
        <v>0</v>
      </c>
      <c r="H66" s="210" t="s">
        <v>2122</v>
      </c>
      <c r="I66" s="210" t="s">
        <v>2079</v>
      </c>
      <c r="J66" s="1313"/>
      <c r="K66" s="1313" cm="1" t="str">
        <f t="array" ref="K66:K66">OFFSET(J66,-1,1)</f>
        <v>0</v>
      </c>
      <c r="L66" s="1313"/>
      <c r="M66" s="1313" t="s">
        <v>1692</v>
      </c>
      <c r="N66" s="1313" t="s">
        <v>2080</v>
      </c>
      <c r="O66" s="1314" t="s">
        <v>2081</v>
      </c>
      <c r="P66" s="1313" t="s">
        <v>2123</v>
      </c>
      <c r="Q66" s="1313"/>
      <c r="T66" s="805" cm="1" t="str">
        <f t="array" ref="T66:T66">T65</f>
        <v>false</v>
      </c>
      <c r="AB66" s="273" t="s">
        <v>2124</v>
      </c>
      <c r="AC66" s="664" t="s">
        <v>684</v>
      </c>
      <c r="AD66" s="67"/>
      <c r="AE66" s="67"/>
      <c r="AF66" s="365">
        <f>IF(AD66=0,0,(AE66-AD66)/AD66*100)</f>
        <v>0</v>
      </c>
      <c r="AG66" s="1710"/>
      <c r="AH66" s="1710"/>
      <c r="AI66" s="365">
        <f>IF(AG66=0,0,(AH66-AG66)/AG66*100)</f>
        <v>0</v>
      </c>
      <c r="AJ66" s="1710"/>
      <c r="AK66" s="1710"/>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2140</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2085</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2132</v>
      </c>
      <c r="D68" s="1292" t="s">
        <v>2133</v>
      </c>
      <c r="E68" s="794">
        <v>15.8</v>
      </c>
      <c r="F68" s="920" cm="1" t="str">
        <f t="array" ref="F68:F68">OFFSET(G68,-1,-1)</f>
        <v>0</v>
      </c>
      <c r="H68" s="210" t="s">
        <v>2104</v>
      </c>
      <c r="I68" s="210" t="s">
        <v>2084</v>
      </c>
      <c r="J68" s="1313"/>
      <c r="K68" s="1313" cm="1" t="str">
        <f t="array" ref="K68:K68">OFFSET(J68,-1,1)</f>
        <v>0</v>
      </c>
      <c r="L68" s="1313"/>
      <c r="M68" s="1313" t="s">
        <v>1701</v>
      </c>
      <c r="N68" s="1313" t="s">
        <v>2080</v>
      </c>
      <c r="O68" s="1314" t="s">
        <v>2081</v>
      </c>
      <c r="P68" s="1313" t="s">
        <v>2105</v>
      </c>
      <c r="Q68" s="1313"/>
      <c r="T68" s="805" cm="1" t="str">
        <f t="array" ref="T68:T68">T67</f>
        <v>false</v>
      </c>
      <c r="AB68" s="273" t="s">
        <v>2106</v>
      </c>
      <c r="AC68" s="169" t="s">
        <v>889</v>
      </c>
      <c r="AD68" s="67">
        <f>IF(AD70=0,0,(AD69*AD70+AD71*AD72*IF(god=2026,3,6))/AD70)</f>
        <v>0</v>
      </c>
      <c r="AE68" s="67">
        <f>IF(AE70=0,0,(AE69*AE70+AE71*AE72*IF(god=2026,3,6))/AE70)</f>
        <v>0</v>
      </c>
      <c r="AF68" s="365">
        <f>IF(AD68=0,0,(AE68-AD68)/AD68*100)</f>
        <v>0</v>
      </c>
      <c r="AG68" s="1710">
        <f>IF(AG70=0,0,(AG69*AG70+AG71*AG72*IF(god=2025,3,6))/AG70)</f>
        <v>0</v>
      </c>
      <c r="AH68" s="1710">
        <f>IF(AH70=0,0,(AH69*AH70+AH71*AH72*IF(god=2025,3,6))/AH70)</f>
        <v>0</v>
      </c>
      <c r="AI68" s="365">
        <f>IF(AG68=0,0,(AH68-AG68)/AG68*100)</f>
        <v>0</v>
      </c>
      <c r="AJ68" s="1710">
        <f>IF(AJ70=0,0,(AJ69*AJ70+AJ71*AJ72*6)/AJ70)</f>
        <v>0</v>
      </c>
      <c r="AK68" s="1710">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2141</v>
      </c>
      <c r="GA68" s="1217"/>
      <c r="GB68" s="1217"/>
      <c r="GC68" s="1217"/>
      <c r="GD68" s="1217"/>
    </row>
    <row customHeight="1" ht="15.405000000000001" hidden="1">
      <c r="B69" s="962" cm="1" t="str">
        <f t="array" ref="B69:B69">B68</f>
        <v>false</v>
      </c>
      <c r="C69" s="1323" t="s">
        <v>2135</v>
      </c>
      <c r="D69" s="1292" t="s">
        <v>2136</v>
      </c>
      <c r="E69" s="794">
        <v>15.8</v>
      </c>
      <c r="F69" s="920" cm="1" t="str">
        <f t="array" ref="F69:F69">OFFSET(G69,-1,-1)</f>
        <v>0</v>
      </c>
      <c r="H69" s="210" t="s">
        <v>2110</v>
      </c>
      <c r="I69" s="210" t="s">
        <v>2084</v>
      </c>
      <c r="J69" s="1313"/>
      <c r="K69" s="1313" cm="1" t="str">
        <f t="array" ref="K69:K69">OFFSET(J69,-1,1)</f>
        <v>0</v>
      </c>
      <c r="L69" s="1313"/>
      <c r="M69" s="1313" t="s">
        <v>1701</v>
      </c>
      <c r="N69" s="1313" t="s">
        <v>2080</v>
      </c>
      <c r="O69" s="1314" t="s">
        <v>2081</v>
      </c>
      <c r="P69" s="1313" t="s">
        <v>2111</v>
      </c>
      <c r="Q69" s="1313"/>
      <c r="T69" s="805" cm="1" t="str">
        <f t="array" ref="T69:T69">T68</f>
        <v>false</v>
      </c>
      <c r="AB69" s="273" t="s">
        <v>2112</v>
      </c>
      <c r="AC69" s="169" t="s">
        <v>889</v>
      </c>
      <c r="AD69" s="67"/>
      <c r="AE69" s="67"/>
      <c r="AF69" s="365">
        <f>IF(AD69=0,0,(AE69-AD69)/AD69*100)</f>
        <v>0</v>
      </c>
      <c r="AG69" s="1710"/>
      <c r="AH69" s="1710"/>
      <c r="AI69" s="365">
        <f>IF(AG69=0,0,(AH69-AG69)/AG69*100)</f>
        <v>0</v>
      </c>
      <c r="AJ69" s="1710"/>
      <c r="AK69" s="1710"/>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2142</v>
      </c>
      <c r="GA69" s="1217"/>
      <c r="GB69" s="1217"/>
      <c r="GC69" s="1217"/>
      <c r="GD69" s="1217"/>
    </row>
    <row customHeight="1" ht="15.405000000000001" hidden="1">
      <c r="B70" s="962" cm="1" t="str">
        <f t="array" ref="B70:B70">B69</f>
        <v>false</v>
      </c>
      <c r="C70" s="1323" t="s">
        <v>1689</v>
      </c>
      <c r="D70" s="1292" t="s">
        <v>1690</v>
      </c>
      <c r="E70" s="794">
        <v>15.8</v>
      </c>
      <c r="F70" s="920" cm="1" t="str">
        <f t="array" ref="F70:F70">OFFSET(G70,-1,-1)</f>
        <v>0</v>
      </c>
      <c r="H70" s="210" t="s">
        <v>2114</v>
      </c>
      <c r="I70" s="210" t="s">
        <v>2084</v>
      </c>
      <c r="J70" s="1313"/>
      <c r="K70" s="1313" cm="1" t="str">
        <f t="array" ref="K70:K70">OFFSET(J70,-1,1)</f>
        <v>0</v>
      </c>
      <c r="L70" s="1313"/>
      <c r="M70" s="1313" t="s">
        <v>1701</v>
      </c>
      <c r="N70" s="1313" t="s">
        <v>2080</v>
      </c>
      <c r="O70" s="1314" t="s">
        <v>2081</v>
      </c>
      <c r="P70" s="1313" t="s">
        <v>2115</v>
      </c>
      <c r="Q70" s="1313"/>
      <c r="T70" s="805" cm="1" t="str">
        <f t="array" ref="T70:T70">T69</f>
        <v>false</v>
      </c>
      <c r="AB70" s="273" t="s">
        <v>2116</v>
      </c>
      <c r="AC70" s="169" t="s">
        <v>586</v>
      </c>
      <c r="AD70" s="147"/>
      <c r="AE70" s="147"/>
      <c r="AF70" s="397">
        <f>IF(AD70=0,0,(AE70-AD70)/AD70*100)</f>
        <v>0</v>
      </c>
      <c r="AG70" s="2063"/>
      <c r="AH70" s="2063"/>
      <c r="AI70" s="397">
        <f>IF(AG70=0,0,(AH70-AG70)/AG70*100)</f>
        <v>0</v>
      </c>
      <c r="AJ70" s="2063"/>
      <c r="AK70" s="2063"/>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2143</v>
      </c>
      <c r="GA70" s="1217"/>
      <c r="GB70" s="1217"/>
      <c r="GC70" s="1217"/>
      <c r="GD70" s="1217"/>
    </row>
    <row customHeight="1" ht="30.712500000000002" hidden="1">
      <c r="B71" s="962" cm="1" t="str">
        <f t="array" ref="B71:B71">B70</f>
        <v>false</v>
      </c>
      <c r="C71" s="1323" t="s">
        <v>1743</v>
      </c>
      <c r="D71" s="1292" t="s">
        <v>1744</v>
      </c>
      <c r="E71" s="794">
        <v>31.5</v>
      </c>
      <c r="F71" s="920" cm="1" t="str">
        <f t="array" ref="F71:F71">OFFSET(G71,-1,-1)</f>
        <v>0</v>
      </c>
      <c r="H71" s="210" t="s">
        <v>2118</v>
      </c>
      <c r="I71" s="210" t="s">
        <v>2084</v>
      </c>
      <c r="J71" s="1313"/>
      <c r="K71" s="1313" cm="1" t="str">
        <f t="array" ref="K71:K71">OFFSET(J71,-1,1)</f>
        <v>0</v>
      </c>
      <c r="L71" s="1313"/>
      <c r="M71" s="1313" t="s">
        <v>1701</v>
      </c>
      <c r="N71" s="1313" t="s">
        <v>2080</v>
      </c>
      <c r="O71" s="1314" t="s">
        <v>2081</v>
      </c>
      <c r="P71" s="1313" t="s">
        <v>2119</v>
      </c>
      <c r="Q71" s="1313"/>
      <c r="T71" s="805" cm="1" t="str">
        <f t="array" ref="T71:T71">T70</f>
        <v>false</v>
      </c>
      <c r="AB71" s="273" t="s">
        <v>2120</v>
      </c>
      <c r="AC71" s="517" t="s">
        <v>1747</v>
      </c>
      <c r="AD71" s="67"/>
      <c r="AE71" s="67"/>
      <c r="AF71" s="365">
        <f>IF(AD71=0,0,(AE71-AD71)/AD71*100)</f>
        <v>0</v>
      </c>
      <c r="AG71" s="1710"/>
      <c r="AH71" s="1710"/>
      <c r="AI71" s="365">
        <f>IF(AG71=0,0,(AH71-AG71)/AG71*100)</f>
        <v>0</v>
      </c>
      <c r="AJ71" s="1710"/>
      <c r="AK71" s="1710"/>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2144</v>
      </c>
      <c r="GA71" s="1217"/>
      <c r="GB71" s="1217"/>
      <c r="GC71" s="1217"/>
      <c r="GD71" s="1217"/>
    </row>
    <row customHeight="1" ht="15.405000000000001" hidden="1">
      <c r="B72" s="962" cm="1" t="str">
        <f t="array" ref="B72:B72">B71</f>
        <v>false</v>
      </c>
      <c r="C72" s="1323" t="s">
        <v>1715</v>
      </c>
      <c r="D72" s="1292" t="s">
        <v>1716</v>
      </c>
      <c r="E72" s="794">
        <v>15.8</v>
      </c>
      <c r="F72" s="920" cm="1" t="str">
        <f t="array" ref="F72:F72">OFFSET(G72,-1,-1)</f>
        <v>0</v>
      </c>
      <c r="H72" s="210" t="s">
        <v>2122</v>
      </c>
      <c r="I72" s="210" t="s">
        <v>2084</v>
      </c>
      <c r="J72" s="1313"/>
      <c r="K72" s="1313" cm="1" t="str">
        <f t="array" ref="K72:K72">OFFSET(J72,-1,1)</f>
        <v>0</v>
      </c>
      <c r="L72" s="1313"/>
      <c r="M72" s="1313" t="s">
        <v>1701</v>
      </c>
      <c r="N72" s="1313" t="s">
        <v>2080</v>
      </c>
      <c r="O72" s="1314" t="s">
        <v>2081</v>
      </c>
      <c r="P72" s="1313" t="s">
        <v>2123</v>
      </c>
      <c r="Q72" s="1313"/>
      <c r="T72" s="805" cm="1" t="str">
        <f t="array" ref="T72:T72">T71</f>
        <v>false</v>
      </c>
      <c r="AB72" s="273" t="s">
        <v>2124</v>
      </c>
      <c r="AC72" s="664" t="s">
        <v>684</v>
      </c>
      <c r="AD72" s="67"/>
      <c r="AE72" s="67"/>
      <c r="AF72" s="365">
        <f>IF(AD72=0,0,(AE72-AD72)/AD72*100)</f>
        <v>0</v>
      </c>
      <c r="AG72" s="1710"/>
      <c r="AH72" s="1710"/>
      <c r="AI72" s="365">
        <f>IF(AG72=0,0,(AH72-AG72)/AG72*100)</f>
        <v>0</v>
      </c>
      <c r="AJ72" s="1710"/>
      <c r="AK72" s="1710"/>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2145</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42"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услуги по передаче тепловой энергии, теплоносителя (Не определено)</v>
      </c>
      <c r="W74" s="1437"/>
      <c r="X74" s="172" t="s">
        <v>337</v>
      </c>
      <c r="Y74" s="1437"/>
      <c r="Z74" s="1437"/>
      <c r="AA74" s="497"/>
      <c r="AB74" s="1551"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52"/>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42"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417"/>
      <c r="AC75" s="141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42"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417" t="s">
        <v>2052</v>
      </c>
      <c r="AC76" s="1419"/>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42"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417" t="s">
        <v>2053</v>
      </c>
      <c r="AC77" s="141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42"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2054</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73" customFormat="1" customHeight="1" ht="16.5">
      <c r="A79" s="360"/>
      <c r="B79" s="962" cm="1" t="str">
        <f t="array" ref="B79:B79">B78</f>
        <v>true</v>
      </c>
      <c r="C79" s="1323" t="s">
        <v>2055</v>
      </c>
      <c r="D79" s="1292" t="s">
        <v>2056</v>
      </c>
      <c r="E79" s="794">
        <v>17.1</v>
      </c>
      <c r="F79" s="920" cm="1" t="str">
        <f t="array" ref="F79:F79">OFFSET(G79,-1,-1)</f>
        <v>1</v>
      </c>
      <c r="G79" s="736" t="s">
        <v>1697</v>
      </c>
      <c r="H79" s="210" t="s">
        <v>488</v>
      </c>
      <c r="I79" s="210" t="s">
        <v>2057</v>
      </c>
      <c r="J79" s="1313" t="s">
        <v>2058</v>
      </c>
      <c r="K79" s="1313" cm="1" t="str">
        <f t="array" ref="K79:K79">INDEX('Общие сведения'!$N$169:$N$202,MATCH($F79,'Общие сведения'!$Z$169:$Z$202,0)+1)</f>
        <v>ТЭ.73.28136693.0002</v>
      </c>
      <c r="L79" s="1313" t="s">
        <v>2059</v>
      </c>
      <c r="M79" s="1313" t="s">
        <v>1692</v>
      </c>
      <c r="N79" s="1313" t="s">
        <v>2060</v>
      </c>
      <c r="O79" s="1314" t="s">
        <v>2061</v>
      </c>
      <c r="P79" s="1313"/>
      <c r="Q79" s="1313"/>
      <c r="R79" s="360"/>
      <c r="S79" s="360"/>
      <c r="T79" s="805" cm="1" t="str">
        <f t="array" ref="T79:T79">T78</f>
        <v>true</v>
      </c>
      <c r="U79" s="360"/>
      <c r="V79" s="360"/>
      <c r="W79" s="360"/>
      <c r="X79" s="360"/>
      <c r="Y79" s="360"/>
      <c r="Z79" s="360"/>
      <c r="AA79" s="360"/>
      <c r="AB79" s="1352" t="s">
        <v>2062</v>
      </c>
      <c r="AC79" s="361" t="s">
        <v>889</v>
      </c>
      <c r="AD79" s="207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509.65</v>
      </c>
      <c r="AE79" s="207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509.65</v>
      </c>
      <c r="AF79" s="363">
        <f>IF(AD79=0,0,(AE79-AD79)/AD79*100)</f>
        <v>0</v>
      </c>
      <c r="AG79" s="206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6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06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6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07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7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07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7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07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7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07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7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07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7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07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7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07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7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074"/>
      <c r="BI79" s="2074"/>
      <c r="BJ79" s="363">
        <f>IF(BH79=0,0,(BI79-BH79)/BH79*100)</f>
        <v>0</v>
      </c>
      <c r="BK79" s="2074"/>
      <c r="BL79" s="2074"/>
      <c r="BM79" s="363">
        <f>IF(BK79=0,0,(BL79-BK79)/BK79*100)</f>
        <v>0</v>
      </c>
      <c r="BN79" s="2074"/>
      <c r="BO79" s="2074"/>
      <c r="BP79" s="363">
        <f>IF(BN79=0,0,(BO79-BN79)/BN79*100)</f>
        <v>0</v>
      </c>
      <c r="BQ79" s="2074"/>
      <c r="BR79" s="2074"/>
      <c r="BS79" s="363">
        <f>IF(BQ79=0,0,(BR79-BQ79)/BQ79*100)</f>
        <v>0</v>
      </c>
      <c r="BT79" s="2074"/>
      <c r="BU79" s="2074"/>
      <c r="BV79" s="363">
        <f>IF(BT79=0,0,(BU79-BT79)/BT79*100)</f>
        <v>0</v>
      </c>
      <c r="BW79" s="2074"/>
      <c r="BX79" s="2074"/>
      <c r="BY79" s="363">
        <f>IF(BW79=0,0,(BX79-BW79)/BW79*100)</f>
        <v>0</v>
      </c>
      <c r="BZ79" s="2074"/>
      <c r="CA79" s="2074"/>
      <c r="CB79" s="363">
        <f>IF(BZ79=0,0,(CA79-BZ79)/BZ79*100)</f>
        <v>0</v>
      </c>
      <c r="CC79" s="2074"/>
      <c r="CD79" s="2074"/>
      <c r="CE79" s="363">
        <f>IF(CC79=0,0,(CD79-CC79)/CC79*100)</f>
        <v>0</v>
      </c>
      <c r="CF79" s="2074"/>
      <c r="CG79" s="2074"/>
      <c r="CH79" s="363">
        <f>IF(CF79=0,0,(CG79-CF79)/CF79*100)</f>
        <v>0</v>
      </c>
      <c r="CI79" s="2074"/>
      <c r="CJ79" s="2074"/>
      <c r="CK79" s="363">
        <f>IF(CI79=0,0,(CJ79-CI79)/CI79*100)</f>
        <v>0</v>
      </c>
      <c r="CL79" s="2074"/>
      <c r="CM79" s="2074"/>
      <c r="CN79" s="363">
        <f>IF(CL79=0,0,(CM79-CL79)/CL79*100)</f>
        <v>0</v>
      </c>
      <c r="CO79" s="2074"/>
      <c r="CP79" s="2074"/>
      <c r="CQ79" s="363">
        <f>IF(CO79=0,0,(CP79-CO79)/CO79*100)</f>
        <v>0</v>
      </c>
      <c r="CR79" s="2074"/>
      <c r="CS79" s="2074"/>
      <c r="CT79" s="363">
        <f>IF(CR79=0,0,(CS79-CR79)/CR79*100)</f>
        <v>0</v>
      </c>
      <c r="CU79" s="2074"/>
      <c r="CV79" s="2074"/>
      <c r="CW79" s="363">
        <f>IF(CU79=0,0,(CV79-CU79)/CU79*100)</f>
        <v>0</v>
      </c>
      <c r="CX79" s="2074"/>
      <c r="CY79" s="2074"/>
      <c r="CZ79" s="363">
        <f>IF(CX79=0,0,(CY79-CX79)/CX79*100)</f>
        <v>0</v>
      </c>
      <c r="DA79" s="2074"/>
      <c r="DB79" s="2074"/>
      <c r="DC79" s="363">
        <f>IF(DA79=0,0,(DB79-DA79)/DA79*100)</f>
        <v>0</v>
      </c>
      <c r="DD79" s="2074"/>
      <c r="DE79" s="2074"/>
      <c r="DF79" s="363">
        <f>IF(DD79=0,0,(DE79-DD79)/DD79*100)</f>
        <v>0</v>
      </c>
      <c r="DG79" s="2074"/>
      <c r="DH79" s="2074"/>
      <c r="DI79" s="363">
        <f>IF(DG79=0,0,(DH79-DG79)/DG79*100)</f>
        <v>0</v>
      </c>
      <c r="DJ79" s="2074"/>
      <c r="DK79" s="2074"/>
      <c r="DL79" s="363">
        <f>IF(DJ79=0,0,(DK79-DJ79)/DJ79*100)</f>
        <v>0</v>
      </c>
      <c r="DM79" s="2074"/>
      <c r="DN79" s="2074"/>
      <c r="DO79" s="363">
        <f>IF(DM79=0,0,(DN79-DM79)/DM79*100)</f>
        <v>0</v>
      </c>
      <c r="DP79" s="2074"/>
      <c r="DQ79" s="2074"/>
      <c r="DR79" s="363">
        <f>IF(DP79=0,0,(DQ79-DP79)/DP79*100)</f>
        <v>0</v>
      </c>
      <c r="DS79" s="2074"/>
      <c r="DT79" s="2074"/>
      <c r="DU79" s="363">
        <f>IF(DS79=0,0,(DT79-DS79)/DS79*100)</f>
        <v>0</v>
      </c>
      <c r="DV79" s="2074"/>
      <c r="DW79" s="2074"/>
      <c r="DX79" s="363">
        <f>IF(DV79=0,0,(DW79-DV79)/DV79*100)</f>
        <v>0</v>
      </c>
      <c r="DY79" s="2074"/>
      <c r="DZ79" s="2074"/>
      <c r="EA79" s="363">
        <f>IF(DY79=0,0,(DZ79-DY79)/DY79*100)</f>
        <v>0</v>
      </c>
      <c r="EB79" s="2074"/>
      <c r="EC79" s="2074"/>
      <c r="ED79" s="363">
        <f>IF(EB79=0,0,(EC79-EB79)/EB79*100)</f>
        <v>0</v>
      </c>
      <c r="EE79" s="2074"/>
      <c r="EF79" s="2074"/>
      <c r="EG79" s="363">
        <f>IF(EE79=0,0,(EF79-EE79)/EE79*100)</f>
        <v>0</v>
      </c>
      <c r="EH79" s="2074"/>
      <c r="EI79" s="2074"/>
      <c r="EJ79" s="363">
        <f>IF(EH79=0,0,(EI79-EH79)/EH79*100)</f>
        <v>0</v>
      </c>
      <c r="EK79" s="2074"/>
      <c r="EL79" s="2074"/>
      <c r="EM79" s="363">
        <f>IF(EK79=0,0,(EL79-EK79)/EK79*100)</f>
        <v>0</v>
      </c>
      <c r="EN79" s="2074"/>
      <c r="EO79" s="2074"/>
      <c r="EP79" s="363">
        <f>IF(EN79=0,0,(EO79-EN79)/EN79*100)</f>
        <v>0</v>
      </c>
      <c r="EQ79" s="2074"/>
      <c r="ER79" s="2074"/>
      <c r="ES79" s="363">
        <f>IF(EQ79=0,0,(ER79-EQ79)/EQ79*100)</f>
        <v>0</v>
      </c>
      <c r="ET79" s="2074"/>
      <c r="EU79" s="2074"/>
      <c r="EV79" s="363">
        <f>IF(ET79=0,0,(EU79-ET79)/ET79*100)</f>
        <v>0</v>
      </c>
      <c r="EW79" s="2074"/>
      <c r="EX79" s="2074"/>
      <c r="EY79" s="363">
        <f>IF(EW79=0,0,(EX79-EW79)/EW79*100)</f>
        <v>0</v>
      </c>
      <c r="EZ79" s="2074"/>
      <c r="FA79" s="2074"/>
      <c r="FB79" s="363">
        <f>IF(EZ79=0,0,(FA79-EZ79)/EZ79*100)</f>
        <v>0</v>
      </c>
      <c r="FC79" s="2074"/>
      <c r="FD79" s="2074"/>
      <c r="FE79" s="363">
        <f>IF(FC79=0,0,(FD79-FC79)/FC79*100)</f>
        <v>0</v>
      </c>
      <c r="FF79" s="2074"/>
      <c r="FG79" s="2074"/>
      <c r="FH79" s="363">
        <f>IF(FF79=0,0,(FG79-FF79)/FF79*100)</f>
        <v>0</v>
      </c>
      <c r="FI79" s="2074"/>
      <c r="FJ79" s="2074"/>
      <c r="FK79" s="363">
        <f>IF(FI79=0,0,(FJ79-FI79)/FI79*100)</f>
        <v>0</v>
      </c>
      <c r="FL79" s="2074"/>
      <c r="FM79" s="2074"/>
      <c r="FN79" s="363">
        <f>IF(FL79=0,0,(FM79-FL79)/FL79*100)</f>
        <v>0</v>
      </c>
      <c r="FO79" s="2074"/>
      <c r="FP79" s="2074"/>
      <c r="FQ79" s="363">
        <f>IF(FO79=0,0,(FP79-FO79)/FO79*100)</f>
        <v>0</v>
      </c>
      <c r="FR79" s="2074"/>
      <c r="FS79" s="2074"/>
      <c r="FT79" s="363">
        <f>IF(FR79=0,0,(FS79-FR79)/FR79*100)</f>
        <v>0</v>
      </c>
      <c r="FU79" s="2074"/>
      <c r="FV79" s="2074"/>
      <c r="FW79" s="363">
        <f>IF(FU79=0,0,(FV79-FU79)/FU79*100)</f>
        <v>0</v>
      </c>
      <c r="FX79" s="360"/>
      <c r="FY79" s="360"/>
      <c r="FZ79" s="1182" t="s">
        <v>2063</v>
      </c>
      <c r="GA79" s="1217"/>
      <c r="GB79" s="1217"/>
      <c r="GC79" s="1217"/>
      <c r="GD79" s="1217"/>
    </row>
    <row s="2075" customFormat="1" customHeight="1" ht="16.5">
      <c r="A80" s="360"/>
      <c r="B80" s="962" cm="1" t="str">
        <f t="array" ref="B80:B80">B79</f>
        <v>true</v>
      </c>
      <c r="C80" s="1323" t="s">
        <v>2055</v>
      </c>
      <c r="D80" s="1292" t="s">
        <v>2056</v>
      </c>
      <c r="E80" s="794">
        <v>17.1</v>
      </c>
      <c r="F80" s="920" cm="1" t="str">
        <f t="array" ref="F80:F80">OFFSET(G80,-1,-1)</f>
        <v>1</v>
      </c>
      <c r="G80" s="736" t="s">
        <v>1704</v>
      </c>
      <c r="H80" s="210" t="s">
        <v>488</v>
      </c>
      <c r="I80" s="210" t="s">
        <v>2064</v>
      </c>
      <c r="J80" s="1313" t="s">
        <v>2058</v>
      </c>
      <c r="K80" s="1313" cm="1" t="str">
        <f t="array" ref="K80:K80">OFFSET(J80,-1,1)</f>
        <v>ТЭ.73.28136693.0002</v>
      </c>
      <c r="L80" s="1313" t="s">
        <v>2059</v>
      </c>
      <c r="M80" s="1313" t="s">
        <v>1701</v>
      </c>
      <c r="N80" s="1313" t="s">
        <v>2060</v>
      </c>
      <c r="O80" s="1314" t="s">
        <v>2061</v>
      </c>
      <c r="P80" s="1313"/>
      <c r="Q80" s="1313"/>
      <c r="R80" s="360"/>
      <c r="S80" s="360"/>
      <c r="T80" s="805" cm="1" t="str">
        <f t="array" ref="T80:T80">T79</f>
        <v>true</v>
      </c>
      <c r="U80" s="360"/>
      <c r="V80" s="360"/>
      <c r="W80" s="360"/>
      <c r="X80" s="360"/>
      <c r="Y80" s="360"/>
      <c r="Z80" s="360"/>
      <c r="AA80" s="360"/>
      <c r="AB80" s="1352" t="s">
        <v>2065</v>
      </c>
      <c r="AC80" s="361" t="s">
        <v>889</v>
      </c>
      <c r="AD80" s="207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2719.41230210389</v>
      </c>
      <c r="AE80" s="207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679.9</v>
      </c>
      <c r="AF80" s="363">
        <f>IF(AD80=0,0,(AE80-AD80)/AD80*100)</f>
        <v>-74.9982744626848</v>
      </c>
      <c r="AG80" s="206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6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06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6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07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7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07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7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07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7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07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7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07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7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07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7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07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7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074"/>
      <c r="BI80" s="2074"/>
      <c r="BJ80" s="363">
        <f>IF(BH80=0,0,(BI80-BH80)/BH80*100)</f>
        <v>0</v>
      </c>
      <c r="BK80" s="2074"/>
      <c r="BL80" s="2074"/>
      <c r="BM80" s="363">
        <f>IF(BK80=0,0,(BL80-BK80)/BK80*100)</f>
        <v>0</v>
      </c>
      <c r="BN80" s="2074"/>
      <c r="BO80" s="2074"/>
      <c r="BP80" s="363">
        <f>IF(BN80=0,0,(BO80-BN80)/BN80*100)</f>
        <v>0</v>
      </c>
      <c r="BQ80" s="2074"/>
      <c r="BR80" s="2074"/>
      <c r="BS80" s="363">
        <f>IF(BQ80=0,0,(BR80-BQ80)/BQ80*100)</f>
        <v>0</v>
      </c>
      <c r="BT80" s="2074"/>
      <c r="BU80" s="2074"/>
      <c r="BV80" s="363">
        <f>IF(BT80=0,0,(BU80-BT80)/BT80*100)</f>
        <v>0</v>
      </c>
      <c r="BW80" s="2074"/>
      <c r="BX80" s="2074"/>
      <c r="BY80" s="363">
        <f>IF(BW80=0,0,(BX80-BW80)/BW80*100)</f>
        <v>0</v>
      </c>
      <c r="BZ80" s="2074"/>
      <c r="CA80" s="2074"/>
      <c r="CB80" s="363">
        <f>IF(BZ80=0,0,(CA80-BZ80)/BZ80*100)</f>
        <v>0</v>
      </c>
      <c r="CC80" s="2074"/>
      <c r="CD80" s="2074"/>
      <c r="CE80" s="363">
        <f>IF(CC80=0,0,(CD80-CC80)/CC80*100)</f>
        <v>0</v>
      </c>
      <c r="CF80" s="2074"/>
      <c r="CG80" s="2074"/>
      <c r="CH80" s="363">
        <f>IF(CF80=0,0,(CG80-CF80)/CF80*100)</f>
        <v>0</v>
      </c>
      <c r="CI80" s="2074"/>
      <c r="CJ80" s="2074"/>
      <c r="CK80" s="363">
        <f>IF(CI80=0,0,(CJ80-CI80)/CI80*100)</f>
        <v>0</v>
      </c>
      <c r="CL80" s="2074"/>
      <c r="CM80" s="2074"/>
      <c r="CN80" s="363">
        <f>IF(CL80=0,0,(CM80-CL80)/CL80*100)</f>
        <v>0</v>
      </c>
      <c r="CO80" s="2074"/>
      <c r="CP80" s="2074"/>
      <c r="CQ80" s="363">
        <f>IF(CO80=0,0,(CP80-CO80)/CO80*100)</f>
        <v>0</v>
      </c>
      <c r="CR80" s="2074"/>
      <c r="CS80" s="2074"/>
      <c r="CT80" s="363">
        <f>IF(CR80=0,0,(CS80-CR80)/CR80*100)</f>
        <v>0</v>
      </c>
      <c r="CU80" s="2074"/>
      <c r="CV80" s="2074"/>
      <c r="CW80" s="363">
        <f>IF(CU80=0,0,(CV80-CU80)/CU80*100)</f>
        <v>0</v>
      </c>
      <c r="CX80" s="2074"/>
      <c r="CY80" s="2074"/>
      <c r="CZ80" s="363">
        <f>IF(CX80=0,0,(CY80-CX80)/CX80*100)</f>
        <v>0</v>
      </c>
      <c r="DA80" s="2074"/>
      <c r="DB80" s="2074"/>
      <c r="DC80" s="363">
        <f>IF(DA80=0,0,(DB80-DA80)/DA80*100)</f>
        <v>0</v>
      </c>
      <c r="DD80" s="2074"/>
      <c r="DE80" s="2074"/>
      <c r="DF80" s="363">
        <f>IF(DD80=0,0,(DE80-DD80)/DD80*100)</f>
        <v>0</v>
      </c>
      <c r="DG80" s="2074"/>
      <c r="DH80" s="2074"/>
      <c r="DI80" s="363">
        <f>IF(DG80=0,0,(DH80-DG80)/DG80*100)</f>
        <v>0</v>
      </c>
      <c r="DJ80" s="2074"/>
      <c r="DK80" s="2074"/>
      <c r="DL80" s="363">
        <f>IF(DJ80=0,0,(DK80-DJ80)/DJ80*100)</f>
        <v>0</v>
      </c>
      <c r="DM80" s="2074"/>
      <c r="DN80" s="2074"/>
      <c r="DO80" s="363">
        <f>IF(DM80=0,0,(DN80-DM80)/DM80*100)</f>
        <v>0</v>
      </c>
      <c r="DP80" s="2074"/>
      <c r="DQ80" s="2074"/>
      <c r="DR80" s="363">
        <f>IF(DP80=0,0,(DQ80-DP80)/DP80*100)</f>
        <v>0</v>
      </c>
      <c r="DS80" s="2074"/>
      <c r="DT80" s="2074"/>
      <c r="DU80" s="363">
        <f>IF(DS80=0,0,(DT80-DS80)/DS80*100)</f>
        <v>0</v>
      </c>
      <c r="DV80" s="2074"/>
      <c r="DW80" s="2074"/>
      <c r="DX80" s="363">
        <f>IF(DV80=0,0,(DW80-DV80)/DV80*100)</f>
        <v>0</v>
      </c>
      <c r="DY80" s="2074"/>
      <c r="DZ80" s="2074"/>
      <c r="EA80" s="363">
        <f>IF(DY80=0,0,(DZ80-DY80)/DY80*100)</f>
        <v>0</v>
      </c>
      <c r="EB80" s="2074"/>
      <c r="EC80" s="2074"/>
      <c r="ED80" s="363">
        <f>IF(EB80=0,0,(EC80-EB80)/EB80*100)</f>
        <v>0</v>
      </c>
      <c r="EE80" s="2074"/>
      <c r="EF80" s="2074"/>
      <c r="EG80" s="363">
        <f>IF(EE80=0,0,(EF80-EE80)/EE80*100)</f>
        <v>0</v>
      </c>
      <c r="EH80" s="2074"/>
      <c r="EI80" s="2074"/>
      <c r="EJ80" s="363">
        <f>IF(EH80=0,0,(EI80-EH80)/EH80*100)</f>
        <v>0</v>
      </c>
      <c r="EK80" s="2074"/>
      <c r="EL80" s="2074"/>
      <c r="EM80" s="363">
        <f>IF(EK80=0,0,(EL80-EK80)/EK80*100)</f>
        <v>0</v>
      </c>
      <c r="EN80" s="2074"/>
      <c r="EO80" s="2074"/>
      <c r="EP80" s="363">
        <f>IF(EN80=0,0,(EO80-EN80)/EN80*100)</f>
        <v>0</v>
      </c>
      <c r="EQ80" s="2074"/>
      <c r="ER80" s="2074"/>
      <c r="ES80" s="363">
        <f>IF(EQ80=0,0,(ER80-EQ80)/EQ80*100)</f>
        <v>0</v>
      </c>
      <c r="ET80" s="2074"/>
      <c r="EU80" s="2074"/>
      <c r="EV80" s="363">
        <f>IF(ET80=0,0,(EU80-ET80)/ET80*100)</f>
        <v>0</v>
      </c>
      <c r="EW80" s="2074"/>
      <c r="EX80" s="2074"/>
      <c r="EY80" s="363">
        <f>IF(EW80=0,0,(EX80-EW80)/EW80*100)</f>
        <v>0</v>
      </c>
      <c r="EZ80" s="2074"/>
      <c r="FA80" s="2074"/>
      <c r="FB80" s="363">
        <f>IF(EZ80=0,0,(FA80-EZ80)/EZ80*100)</f>
        <v>0</v>
      </c>
      <c r="FC80" s="2074"/>
      <c r="FD80" s="2074"/>
      <c r="FE80" s="363">
        <f>IF(FC80=0,0,(FD80-FC80)/FC80*100)</f>
        <v>0</v>
      </c>
      <c r="FF80" s="2074"/>
      <c r="FG80" s="2074"/>
      <c r="FH80" s="363">
        <f>IF(FF80=0,0,(FG80-FF80)/FF80*100)</f>
        <v>0</v>
      </c>
      <c r="FI80" s="2074"/>
      <c r="FJ80" s="2074"/>
      <c r="FK80" s="363">
        <f>IF(FI80=0,0,(FJ80-FI80)/FI80*100)</f>
        <v>0</v>
      </c>
      <c r="FL80" s="2074"/>
      <c r="FM80" s="2074"/>
      <c r="FN80" s="363">
        <f>IF(FL80=0,0,(FM80-FL80)/FL80*100)</f>
        <v>0</v>
      </c>
      <c r="FO80" s="2074"/>
      <c r="FP80" s="2074"/>
      <c r="FQ80" s="363">
        <f>IF(FO80=0,0,(FP80-FO80)/FO80*100)</f>
        <v>0</v>
      </c>
      <c r="FR80" s="2074"/>
      <c r="FS80" s="2074"/>
      <c r="FT80" s="363">
        <f>IF(FR80=0,0,(FS80-FR80)/FR80*100)</f>
        <v>0</v>
      </c>
      <c r="FU80" s="2074"/>
      <c r="FV80" s="2074"/>
      <c r="FW80" s="363">
        <f>IF(FU80=0,0,(FV80-FU80)/FU80*100)</f>
        <v>0</v>
      </c>
      <c r="FX80" s="360"/>
      <c r="FY80" s="360"/>
      <c r="FZ80" s="1182" t="s">
        <v>2066</v>
      </c>
      <c r="GA80" s="1217"/>
      <c r="GB80" s="1217"/>
      <c r="GC80" s="1217"/>
      <c r="GD80" s="1217"/>
    </row>
    <row s="1642" customFormat="1" customHeight="1" ht="16.5">
      <c r="A81" s="1437"/>
      <c r="B81" s="962" cm="1" t="str">
        <f t="array" ref="B81:B81">B80</f>
        <v>true</v>
      </c>
      <c r="C81" s="1323" t="s">
        <v>1707</v>
      </c>
      <c r="D81" s="1292" t="s">
        <v>1708</v>
      </c>
      <c r="E81" s="794">
        <v>17.1</v>
      </c>
      <c r="F81" s="920" cm="1" t="str">
        <f t="array" ref="F81:F81">OFFSET(G81,-1,-1)</f>
        <v>1</v>
      </c>
      <c r="G81" s="497"/>
      <c r="H81" s="210" t="s">
        <v>491</v>
      </c>
      <c r="I81" s="210" t="s">
        <v>2067</v>
      </c>
      <c r="J81" s="1313" t="s">
        <v>2058</v>
      </c>
      <c r="K81" s="1313" cm="1" t="str">
        <f t="array" ref="K81:K81">OFFSET(J81,-1,1)</f>
        <v>ТЭ.73.28136693.0002</v>
      </c>
      <c r="L81" s="1313" t="s">
        <v>2068</v>
      </c>
      <c r="M81" s="1313"/>
      <c r="N81" s="1313" t="s">
        <v>2060</v>
      </c>
      <c r="O81" s="1314" t="s">
        <v>2061</v>
      </c>
      <c r="P81" s="1313"/>
      <c r="Q81" s="1313"/>
      <c r="R81" s="926"/>
      <c r="S81" s="497"/>
      <c r="T81" s="805" cm="1" t="str">
        <f t="array" ref="T81:T81">T80</f>
        <v>true</v>
      </c>
      <c r="U81" s="1437"/>
      <c r="V81" s="1437"/>
      <c r="W81" s="1437"/>
      <c r="X81" s="1437"/>
      <c r="Y81" s="1437"/>
      <c r="Z81" s="1437"/>
      <c r="AA81" s="497"/>
      <c r="AB81" s="1058" t="s">
        <v>2069</v>
      </c>
      <c r="AC81" s="169" t="s">
        <v>485</v>
      </c>
      <c r="AD81" s="1042">
        <f>IF(AD79=0,0,AD80/AD79)</f>
        <v>5.33584283744509</v>
      </c>
      <c r="AE81" s="1042">
        <f>IF(AE79=0,0,AE80/AE79)</f>
        <v>1.33405278132051</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2070</v>
      </c>
      <c r="GA81" s="1217"/>
      <c r="GB81" s="1217"/>
      <c r="GC81" s="1217"/>
      <c r="GD81" s="1217"/>
    </row>
    <row s="1642" customFormat="1" customHeight="1" ht="16.5">
      <c r="A82" s="1437"/>
      <c r="B82" s="962" cm="1" t="str">
        <f t="array" ref="B82:B82">B81</f>
        <v>true</v>
      </c>
      <c r="C82" s="1323" t="s">
        <v>1689</v>
      </c>
      <c r="D82" s="1292" t="s">
        <v>1690</v>
      </c>
      <c r="E82" s="794">
        <v>17.1</v>
      </c>
      <c r="F82" s="920" cm="1" t="str">
        <f t="array" ref="F82:F82">OFFSET(G82,-1,-1)</f>
        <v>1</v>
      </c>
      <c r="G82" s="190" t="s">
        <v>2071</v>
      </c>
      <c r="H82" s="210" t="s">
        <v>498</v>
      </c>
      <c r="I82" s="210" t="s">
        <v>2067</v>
      </c>
      <c r="J82" s="1313" t="s">
        <v>2058</v>
      </c>
      <c r="K82" s="1313" cm="1" t="str">
        <f t="array" ref="K82:K82">OFFSET(J82,-1,1)</f>
        <v>ТЭ.73.28136693.0002</v>
      </c>
      <c r="L82" s="1313" t="s">
        <v>2072</v>
      </c>
      <c r="M82" s="1313"/>
      <c r="N82" s="1313" t="s">
        <v>2060</v>
      </c>
      <c r="O82" s="1314" t="s">
        <v>2061</v>
      </c>
      <c r="P82" s="1313"/>
      <c r="Q82" s="1313"/>
      <c r="R82" s="926"/>
      <c r="S82" s="497"/>
      <c r="T82" s="805" cm="1" t="str">
        <f t="array" ref="T82:T82">T81</f>
        <v>true</v>
      </c>
      <c r="U82" s="1437"/>
      <c r="V82" s="1437"/>
      <c r="W82" s="1437"/>
      <c r="X82" s="1437"/>
      <c r="Y82" s="1437"/>
      <c r="Z82" s="1437"/>
      <c r="AA82" s="497"/>
      <c r="AB82" s="1058" t="s">
        <v>2073</v>
      </c>
      <c r="AC82" s="169" t="s">
        <v>586</v>
      </c>
      <c r="AD82" s="2076">
        <f>SUM(AD83:AD84)</f>
        <v>324202.83797</v>
      </c>
      <c r="AE82" s="2076">
        <f>SUM(AE83:AE84)</f>
        <v>331148.67</v>
      </c>
      <c r="AF82" s="397">
        <f>IF(AD82=0,0,(AE82-AD82)/AD82*100)</f>
        <v>2.14243406180261</v>
      </c>
      <c r="AG82" s="2063">
        <f>SUM(AG83:AG84)</f>
        <v>0</v>
      </c>
      <c r="AH82" s="2063">
        <f>SUM(AH83:AH84)</f>
        <v>0</v>
      </c>
      <c r="AI82" s="397">
        <f>IF(AG82=0,0,(AH82-AG82)/AG82*100)</f>
        <v>0</v>
      </c>
      <c r="AJ82" s="2063">
        <f>SUM(AJ83:AJ84)</f>
        <v>0</v>
      </c>
      <c r="AK82" s="2063">
        <f>SUM(AK83:AK84)</f>
        <v>0</v>
      </c>
      <c r="AL82" s="397">
        <f>IF(AJ82=0,0,(AK82-AJ82)/AJ82*100)</f>
        <v>0</v>
      </c>
      <c r="AM82" s="2076">
        <f>SUM(AM83:AM84)</f>
        <v>0</v>
      </c>
      <c r="AN82" s="2076">
        <f>SUM(AN83:AN84)</f>
        <v>0</v>
      </c>
      <c r="AO82" s="397">
        <f>IF(AM82=0,0,(AN82-AM82)/AM82*100)</f>
        <v>0</v>
      </c>
      <c r="AP82" s="2076">
        <f>SUM(AP83:AP84)</f>
        <v>0</v>
      </c>
      <c r="AQ82" s="2076">
        <f>SUM(AQ83:AQ84)</f>
        <v>0</v>
      </c>
      <c r="AR82" s="397">
        <f>IF(AP82=0,0,(AQ82-AP82)/AP82*100)</f>
        <v>0</v>
      </c>
      <c r="AS82" s="2076">
        <f>SUM(AS83:AS84)</f>
        <v>0</v>
      </c>
      <c r="AT82" s="2076">
        <f>SUM(AT83:AT84)</f>
        <v>0</v>
      </c>
      <c r="AU82" s="397">
        <f>IF(AS82=0,0,(AT82-AS82)/AS82*100)</f>
        <v>0</v>
      </c>
      <c r="AV82" s="2076">
        <f>SUM(AV83:AV84)</f>
        <v>0</v>
      </c>
      <c r="AW82" s="2076">
        <f>SUM(AW83:AW84)</f>
        <v>0</v>
      </c>
      <c r="AX82" s="397">
        <f>IF(AV82=0,0,(AW82-AV82)/AV82*100)</f>
        <v>0</v>
      </c>
      <c r="AY82" s="2076">
        <f>SUM(AY83:AY84)</f>
        <v>0</v>
      </c>
      <c r="AZ82" s="2076">
        <f>SUM(AZ83:AZ84)</f>
        <v>0</v>
      </c>
      <c r="BA82" s="397">
        <f>IF(AY82=0,0,(AZ82-AY82)/AY82*100)</f>
        <v>0</v>
      </c>
      <c r="BB82" s="2076">
        <f>SUM(BB83:BB84)</f>
        <v>0</v>
      </c>
      <c r="BC82" s="2076">
        <f>SUM(BC83:BC84)</f>
        <v>0</v>
      </c>
      <c r="BD82" s="397">
        <f>IF(BB82=0,0,(BC82-BB82)/BB82*100)</f>
        <v>0</v>
      </c>
      <c r="BE82" s="2076">
        <f>SUM(BE83:BE84)</f>
        <v>0</v>
      </c>
      <c r="BF82" s="2076">
        <f>SUM(BF83:BF84)</f>
        <v>0</v>
      </c>
      <c r="BG82" s="397">
        <f>IF(BE82=0,0,(BF82-BE82)/BE82*100)</f>
        <v>0</v>
      </c>
      <c r="BH82" s="2076">
        <f>SUM(BH83:BH84)</f>
        <v>0</v>
      </c>
      <c r="BI82" s="2076">
        <f>SUM(BI83:BI84)</f>
        <v>0</v>
      </c>
      <c r="BJ82" s="397">
        <f>IF(BH82=0,0,(BI82-BH82)/BH82*100)</f>
        <v>0</v>
      </c>
      <c r="BK82" s="2076">
        <f>SUM(BK83:BK84)</f>
        <v>0</v>
      </c>
      <c r="BL82" s="2076">
        <f>SUM(BL83:BL84)</f>
        <v>0</v>
      </c>
      <c r="BM82" s="397">
        <f>IF(BK82=0,0,(BL82-BK82)/BK82*100)</f>
        <v>0</v>
      </c>
      <c r="BN82" s="2076">
        <f>SUM(BN83:BN84)</f>
        <v>0</v>
      </c>
      <c r="BO82" s="2076">
        <f>SUM(BO83:BO84)</f>
        <v>0</v>
      </c>
      <c r="BP82" s="397">
        <f>IF(BN82=0,0,(BO82-BN82)/BN82*100)</f>
        <v>0</v>
      </c>
      <c r="BQ82" s="2076">
        <f>SUM(BQ83:BQ84)</f>
        <v>0</v>
      </c>
      <c r="BR82" s="2076">
        <f>SUM(BR83:BR84)</f>
        <v>0</v>
      </c>
      <c r="BS82" s="397">
        <f>IF(BQ82=0,0,(BR82-BQ82)/BQ82*100)</f>
        <v>0</v>
      </c>
      <c r="BT82" s="2076">
        <f>SUM(BT83:BT84)</f>
        <v>0</v>
      </c>
      <c r="BU82" s="2076">
        <f>SUM(BU83:BU84)</f>
        <v>0</v>
      </c>
      <c r="BV82" s="397">
        <f>IF(BT82=0,0,(BU82-BT82)/BT82*100)</f>
        <v>0</v>
      </c>
      <c r="BW82" s="2076">
        <f>SUM(BW83:BW84)</f>
        <v>0</v>
      </c>
      <c r="BX82" s="2076">
        <f>SUM(BX83:BX84)</f>
        <v>0</v>
      </c>
      <c r="BY82" s="397">
        <f>IF(BW82=0,0,(BX82-BW82)/BW82*100)</f>
        <v>0</v>
      </c>
      <c r="BZ82" s="2076">
        <f>SUM(BZ83:BZ84)</f>
        <v>0</v>
      </c>
      <c r="CA82" s="2076">
        <f>SUM(CA83:CA84)</f>
        <v>0</v>
      </c>
      <c r="CB82" s="397">
        <f>IF(BZ82=0,0,(CA82-BZ82)/BZ82*100)</f>
        <v>0</v>
      </c>
      <c r="CC82" s="2076">
        <f>SUM(CC83:CC84)</f>
        <v>0</v>
      </c>
      <c r="CD82" s="2076">
        <f>SUM(CD83:CD84)</f>
        <v>0</v>
      </c>
      <c r="CE82" s="397">
        <f>IF(CC82=0,0,(CD82-CC82)/CC82*100)</f>
        <v>0</v>
      </c>
      <c r="CF82" s="2076">
        <f>SUM(CF83:CF84)</f>
        <v>0</v>
      </c>
      <c r="CG82" s="2076">
        <f>SUM(CG83:CG84)</f>
        <v>0</v>
      </c>
      <c r="CH82" s="397">
        <f>IF(CF82=0,0,(CG82-CF82)/CF82*100)</f>
        <v>0</v>
      </c>
      <c r="CI82" s="2076">
        <f>SUM(CI83:CI84)</f>
        <v>0</v>
      </c>
      <c r="CJ82" s="2076">
        <f>SUM(CJ83:CJ84)</f>
        <v>0</v>
      </c>
      <c r="CK82" s="397">
        <f>IF(CI82=0,0,(CJ82-CI82)/CI82*100)</f>
        <v>0</v>
      </c>
      <c r="CL82" s="2076">
        <f>SUM(CL83:CL84)</f>
        <v>0</v>
      </c>
      <c r="CM82" s="2076">
        <f>SUM(CM83:CM84)</f>
        <v>0</v>
      </c>
      <c r="CN82" s="397">
        <f>IF(CL82=0,0,(CM82-CL82)/CL82*100)</f>
        <v>0</v>
      </c>
      <c r="CO82" s="2076">
        <f>SUM(CO83:CO84)</f>
        <v>0</v>
      </c>
      <c r="CP82" s="2076">
        <f>SUM(CP83:CP84)</f>
        <v>0</v>
      </c>
      <c r="CQ82" s="397">
        <f>IF(CO82=0,0,(CP82-CO82)/CO82*100)</f>
        <v>0</v>
      </c>
      <c r="CR82" s="2076">
        <f>SUM(CR83:CR84)</f>
        <v>0</v>
      </c>
      <c r="CS82" s="2076">
        <f>SUM(CS83:CS84)</f>
        <v>0</v>
      </c>
      <c r="CT82" s="397">
        <f>IF(CR82=0,0,(CS82-CR82)/CR82*100)</f>
        <v>0</v>
      </c>
      <c r="CU82" s="2076">
        <f>SUM(CU83:CU84)</f>
        <v>0</v>
      </c>
      <c r="CV82" s="2076">
        <f>SUM(CV83:CV84)</f>
        <v>0</v>
      </c>
      <c r="CW82" s="397">
        <f>IF(CU82=0,0,(CV82-CU82)/CU82*100)</f>
        <v>0</v>
      </c>
      <c r="CX82" s="2076">
        <f>SUM(CX83:CX84)</f>
        <v>0</v>
      </c>
      <c r="CY82" s="2076">
        <f>SUM(CY83:CY84)</f>
        <v>0</v>
      </c>
      <c r="CZ82" s="397">
        <f>IF(CX82=0,0,(CY82-CX82)/CX82*100)</f>
        <v>0</v>
      </c>
      <c r="DA82" s="2076">
        <f>SUM(DA83:DA84)</f>
        <v>0</v>
      </c>
      <c r="DB82" s="2076">
        <f>SUM(DB83:DB84)</f>
        <v>0</v>
      </c>
      <c r="DC82" s="397">
        <f>IF(DA82=0,0,(DB82-DA82)/DA82*100)</f>
        <v>0</v>
      </c>
      <c r="DD82" s="2076">
        <f>SUM(DD83:DD84)</f>
        <v>0</v>
      </c>
      <c r="DE82" s="2076">
        <f>SUM(DE83:DE84)</f>
        <v>0</v>
      </c>
      <c r="DF82" s="397">
        <f>IF(DD82=0,0,(DE82-DD82)/DD82*100)</f>
        <v>0</v>
      </c>
      <c r="DG82" s="2076">
        <f>SUM(DG83:DG84)</f>
        <v>0</v>
      </c>
      <c r="DH82" s="2076">
        <f>SUM(DH83:DH84)</f>
        <v>0</v>
      </c>
      <c r="DI82" s="397">
        <f>IF(DG82=0,0,(DH82-DG82)/DG82*100)</f>
        <v>0</v>
      </c>
      <c r="DJ82" s="2076">
        <f>SUM(DJ83:DJ84)</f>
        <v>0</v>
      </c>
      <c r="DK82" s="2076">
        <f>SUM(DK83:DK84)</f>
        <v>0</v>
      </c>
      <c r="DL82" s="397">
        <f>IF(DJ82=0,0,(DK82-DJ82)/DJ82*100)</f>
        <v>0</v>
      </c>
      <c r="DM82" s="2076">
        <f>SUM(DM83:DM84)</f>
        <v>0</v>
      </c>
      <c r="DN82" s="2076">
        <f>SUM(DN83:DN84)</f>
        <v>0</v>
      </c>
      <c r="DO82" s="397">
        <f>IF(DM82=0,0,(DN82-DM82)/DM82*100)</f>
        <v>0</v>
      </c>
      <c r="DP82" s="2076">
        <f>SUM(DP83:DP84)</f>
        <v>0</v>
      </c>
      <c r="DQ82" s="2076">
        <f>SUM(DQ83:DQ84)</f>
        <v>0</v>
      </c>
      <c r="DR82" s="397">
        <f>IF(DP82=0,0,(DQ82-DP82)/DP82*100)</f>
        <v>0</v>
      </c>
      <c r="DS82" s="2076">
        <f>SUM(DS83:DS84)</f>
        <v>0</v>
      </c>
      <c r="DT82" s="2076">
        <f>SUM(DT83:DT84)</f>
        <v>0</v>
      </c>
      <c r="DU82" s="397">
        <f>IF(DS82=0,0,(DT82-DS82)/DS82*100)</f>
        <v>0</v>
      </c>
      <c r="DV82" s="2076">
        <f>SUM(DV83:DV84)</f>
        <v>0</v>
      </c>
      <c r="DW82" s="2076">
        <f>SUM(DW83:DW84)</f>
        <v>0</v>
      </c>
      <c r="DX82" s="397">
        <f>IF(DV82=0,0,(DW82-DV82)/DV82*100)</f>
        <v>0</v>
      </c>
      <c r="DY82" s="2076">
        <f>SUM(DY83:DY84)</f>
        <v>0</v>
      </c>
      <c r="DZ82" s="2076">
        <f>SUM(DZ83:DZ84)</f>
        <v>0</v>
      </c>
      <c r="EA82" s="397">
        <f>IF(DY82=0,0,(DZ82-DY82)/DY82*100)</f>
        <v>0</v>
      </c>
      <c r="EB82" s="2076">
        <f>SUM(EB83:EB84)</f>
        <v>0</v>
      </c>
      <c r="EC82" s="2076">
        <f>SUM(EC83:EC84)</f>
        <v>0</v>
      </c>
      <c r="ED82" s="397">
        <f>IF(EB82=0,0,(EC82-EB82)/EB82*100)</f>
        <v>0</v>
      </c>
      <c r="EE82" s="2076">
        <f>SUM(EE83:EE84)</f>
        <v>0</v>
      </c>
      <c r="EF82" s="2076">
        <f>SUM(EF83:EF84)</f>
        <v>0</v>
      </c>
      <c r="EG82" s="397">
        <f>IF(EE82=0,0,(EF82-EE82)/EE82*100)</f>
        <v>0</v>
      </c>
      <c r="EH82" s="2076">
        <f>SUM(EH83:EH84)</f>
        <v>0</v>
      </c>
      <c r="EI82" s="2076">
        <f>SUM(EI83:EI84)</f>
        <v>0</v>
      </c>
      <c r="EJ82" s="397">
        <f>IF(EH82=0,0,(EI82-EH82)/EH82*100)</f>
        <v>0</v>
      </c>
      <c r="EK82" s="2076">
        <f>SUM(EK83:EK84)</f>
        <v>0</v>
      </c>
      <c r="EL82" s="2076">
        <f>SUM(EL83:EL84)</f>
        <v>0</v>
      </c>
      <c r="EM82" s="397">
        <f>IF(EK82=0,0,(EL82-EK82)/EK82*100)</f>
        <v>0</v>
      </c>
      <c r="EN82" s="2076">
        <f>SUM(EN83:EN84)</f>
        <v>0</v>
      </c>
      <c r="EO82" s="2076">
        <f>SUM(EO83:EO84)</f>
        <v>0</v>
      </c>
      <c r="EP82" s="397">
        <f>IF(EN82=0,0,(EO82-EN82)/EN82*100)</f>
        <v>0</v>
      </c>
      <c r="EQ82" s="2076">
        <f>SUM(EQ83:EQ84)</f>
        <v>0</v>
      </c>
      <c r="ER82" s="2076">
        <f>SUM(ER83:ER84)</f>
        <v>0</v>
      </c>
      <c r="ES82" s="397">
        <f>IF(EQ82=0,0,(ER82-EQ82)/EQ82*100)</f>
        <v>0</v>
      </c>
      <c r="ET82" s="2076">
        <f>SUM(ET83:ET84)</f>
        <v>0</v>
      </c>
      <c r="EU82" s="2076">
        <f>SUM(EU83:EU84)</f>
        <v>0</v>
      </c>
      <c r="EV82" s="397">
        <f>IF(ET82=0,0,(EU82-ET82)/ET82*100)</f>
        <v>0</v>
      </c>
      <c r="EW82" s="2076">
        <f>SUM(EW83:EW84)</f>
        <v>0</v>
      </c>
      <c r="EX82" s="2076">
        <f>SUM(EX83:EX84)</f>
        <v>0</v>
      </c>
      <c r="EY82" s="397">
        <f>IF(EW82=0,0,(EX82-EW82)/EW82*100)</f>
        <v>0</v>
      </c>
      <c r="EZ82" s="2076">
        <f>SUM(EZ83:EZ84)</f>
        <v>0</v>
      </c>
      <c r="FA82" s="2076">
        <f>SUM(FA83:FA84)</f>
        <v>0</v>
      </c>
      <c r="FB82" s="397">
        <f>IF(EZ82=0,0,(FA82-EZ82)/EZ82*100)</f>
        <v>0</v>
      </c>
      <c r="FC82" s="2076">
        <f>SUM(FC83:FC84)</f>
        <v>0</v>
      </c>
      <c r="FD82" s="2076">
        <f>SUM(FD83:FD84)</f>
        <v>0</v>
      </c>
      <c r="FE82" s="397">
        <f>IF(FC82=0,0,(FD82-FC82)/FC82*100)</f>
        <v>0</v>
      </c>
      <c r="FF82" s="2076">
        <f>SUM(FF83:FF84)</f>
        <v>0</v>
      </c>
      <c r="FG82" s="2076">
        <f>SUM(FG83:FG84)</f>
        <v>0</v>
      </c>
      <c r="FH82" s="397">
        <f>IF(FF82=0,0,(FG82-FF82)/FF82*100)</f>
        <v>0</v>
      </c>
      <c r="FI82" s="2076">
        <f>SUM(FI83:FI84)</f>
        <v>0</v>
      </c>
      <c r="FJ82" s="2076">
        <f>SUM(FJ83:FJ84)</f>
        <v>0</v>
      </c>
      <c r="FK82" s="397">
        <f>IF(FI82=0,0,(FJ82-FI82)/FI82*100)</f>
        <v>0</v>
      </c>
      <c r="FL82" s="2076">
        <f>SUM(FL83:FL84)</f>
        <v>0</v>
      </c>
      <c r="FM82" s="2076">
        <f>SUM(FM83:FM84)</f>
        <v>0</v>
      </c>
      <c r="FN82" s="397">
        <f>IF(FL82=0,0,(FM82-FL82)/FL82*100)</f>
        <v>0</v>
      </c>
      <c r="FO82" s="2076">
        <f>SUM(FO83:FO84)</f>
        <v>0</v>
      </c>
      <c r="FP82" s="2076">
        <f>SUM(FP83:FP84)</f>
        <v>0</v>
      </c>
      <c r="FQ82" s="397">
        <f>IF(FO82=0,0,(FP82-FO82)/FO82*100)</f>
        <v>0</v>
      </c>
      <c r="FR82" s="2076">
        <f>SUM(FR83:FR84)</f>
        <v>0</v>
      </c>
      <c r="FS82" s="2076">
        <f>SUM(FS83:FS84)</f>
        <v>0</v>
      </c>
      <c r="FT82" s="397">
        <f>IF(FR82=0,0,(FS82-FR82)/FR82*100)</f>
        <v>0</v>
      </c>
      <c r="FU82" s="2076">
        <f>SUM(FU83:FU84)</f>
        <v>0</v>
      </c>
      <c r="FV82" s="2076">
        <f>SUM(FV83:FV84)</f>
        <v>0</v>
      </c>
      <c r="FW82" s="397">
        <f>IF(FU82=0,0,(FV82-FU82)/FU82*100)</f>
        <v>0</v>
      </c>
      <c r="FX82" s="497"/>
      <c r="FY82" s="497"/>
      <c r="FZ82" s="1182" t="s">
        <v>2074</v>
      </c>
      <c r="GA82" s="1217"/>
      <c r="GB82" s="1217"/>
      <c r="GC82" s="1217"/>
      <c r="GD82" s="1217"/>
    </row>
    <row s="1642" customFormat="1" customHeight="1" ht="16.5">
      <c r="A83" s="1437"/>
      <c r="B83" s="962" cm="1" t="str">
        <f t="array" ref="B83:B83">B82</f>
        <v>true</v>
      </c>
      <c r="C83" s="1323" t="s">
        <v>1689</v>
      </c>
      <c r="D83" s="1292" t="s">
        <v>1690</v>
      </c>
      <c r="E83" s="794">
        <v>17.1</v>
      </c>
      <c r="F83" s="920" cm="1" t="str">
        <f t="array" ref="F83:F83">OFFSET(G83,-1,-1)</f>
        <v>1</v>
      </c>
      <c r="G83" s="190" t="s">
        <v>1691</v>
      </c>
      <c r="H83" s="497"/>
      <c r="I83" s="497"/>
      <c r="J83" s="1313" t="s">
        <v>2058</v>
      </c>
      <c r="K83" s="1313" cm="1" t="str">
        <f t="array" ref="K83:K83">OFFSET(J83,-1,1)</f>
        <v>ТЭ.73.28136693.0002</v>
      </c>
      <c r="L83" s="1313" t="s">
        <v>2072</v>
      </c>
      <c r="M83" s="1313" t="s">
        <v>1692</v>
      </c>
      <c r="N83" s="1313" t="s">
        <v>2060</v>
      </c>
      <c r="O83" s="1314" t="s">
        <v>2061</v>
      </c>
      <c r="P83" s="1313"/>
      <c r="Q83" s="1313"/>
      <c r="R83" s="926"/>
      <c r="S83" s="497"/>
      <c r="T83" s="805" cm="1" t="str">
        <f t="array" ref="T83:T83">T82</f>
        <v>true</v>
      </c>
      <c r="U83" s="1437"/>
      <c r="V83" s="1437"/>
      <c r="W83" s="1437"/>
      <c r="X83" s="1437"/>
      <c r="Y83" s="1437"/>
      <c r="Z83" s="1437"/>
      <c r="AA83" s="497"/>
      <c r="AB83" s="286" t="s">
        <v>1693</v>
      </c>
      <c r="AC83" s="169" t="s">
        <v>586</v>
      </c>
      <c r="AD83" s="207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193887.78</v>
      </c>
      <c r="AE83" s="207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189888.22</v>
      </c>
      <c r="AF83" s="397">
        <f>IF(AD83=0,0,(AE83-AD83)/AD83*100)</f>
        <v>-2.06282211287374</v>
      </c>
      <c r="AG83" s="206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6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06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6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07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7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07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7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07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7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07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7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07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7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07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7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07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7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076"/>
      <c r="BI83" s="2076"/>
      <c r="BJ83" s="397">
        <f>IF(BH83=0,0,(BI83-BH83)/BH83*100)</f>
        <v>0</v>
      </c>
      <c r="BK83" s="2076"/>
      <c r="BL83" s="2076"/>
      <c r="BM83" s="397">
        <f>IF(BK83=0,0,(BL83-BK83)/BK83*100)</f>
        <v>0</v>
      </c>
      <c r="BN83" s="2076"/>
      <c r="BO83" s="2076"/>
      <c r="BP83" s="397">
        <f>IF(BN83=0,0,(BO83-BN83)/BN83*100)</f>
        <v>0</v>
      </c>
      <c r="BQ83" s="2076"/>
      <c r="BR83" s="2076"/>
      <c r="BS83" s="397">
        <f>IF(BQ83=0,0,(BR83-BQ83)/BQ83*100)</f>
        <v>0</v>
      </c>
      <c r="BT83" s="2076"/>
      <c r="BU83" s="2076"/>
      <c r="BV83" s="397">
        <f>IF(BT83=0,0,(BU83-BT83)/BT83*100)</f>
        <v>0</v>
      </c>
      <c r="BW83" s="2076"/>
      <c r="BX83" s="2076"/>
      <c r="BY83" s="397">
        <f>IF(BW83=0,0,(BX83-BW83)/BW83*100)</f>
        <v>0</v>
      </c>
      <c r="BZ83" s="2076"/>
      <c r="CA83" s="2076"/>
      <c r="CB83" s="397">
        <f>IF(BZ83=0,0,(CA83-BZ83)/BZ83*100)</f>
        <v>0</v>
      </c>
      <c r="CC83" s="2076"/>
      <c r="CD83" s="2076"/>
      <c r="CE83" s="397">
        <f>IF(CC83=0,0,(CD83-CC83)/CC83*100)</f>
        <v>0</v>
      </c>
      <c r="CF83" s="2076"/>
      <c r="CG83" s="2076"/>
      <c r="CH83" s="397">
        <f>IF(CF83=0,0,(CG83-CF83)/CF83*100)</f>
        <v>0</v>
      </c>
      <c r="CI83" s="2076"/>
      <c r="CJ83" s="2076"/>
      <c r="CK83" s="397">
        <f>IF(CI83=0,0,(CJ83-CI83)/CI83*100)</f>
        <v>0</v>
      </c>
      <c r="CL83" s="2076"/>
      <c r="CM83" s="2076"/>
      <c r="CN83" s="397">
        <f>IF(CL83=0,0,(CM83-CL83)/CL83*100)</f>
        <v>0</v>
      </c>
      <c r="CO83" s="2076"/>
      <c r="CP83" s="2076"/>
      <c r="CQ83" s="397">
        <f>IF(CO83=0,0,(CP83-CO83)/CO83*100)</f>
        <v>0</v>
      </c>
      <c r="CR83" s="2076"/>
      <c r="CS83" s="2076"/>
      <c r="CT83" s="397">
        <f>IF(CR83=0,0,(CS83-CR83)/CR83*100)</f>
        <v>0</v>
      </c>
      <c r="CU83" s="2076"/>
      <c r="CV83" s="2076"/>
      <c r="CW83" s="397">
        <f>IF(CU83=0,0,(CV83-CU83)/CU83*100)</f>
        <v>0</v>
      </c>
      <c r="CX83" s="2076"/>
      <c r="CY83" s="2076"/>
      <c r="CZ83" s="397">
        <f>IF(CX83=0,0,(CY83-CX83)/CX83*100)</f>
        <v>0</v>
      </c>
      <c r="DA83" s="2076"/>
      <c r="DB83" s="2076"/>
      <c r="DC83" s="397">
        <f>IF(DA83=0,0,(DB83-DA83)/DA83*100)</f>
        <v>0</v>
      </c>
      <c r="DD83" s="2076"/>
      <c r="DE83" s="2076"/>
      <c r="DF83" s="397">
        <f>IF(DD83=0,0,(DE83-DD83)/DD83*100)</f>
        <v>0</v>
      </c>
      <c r="DG83" s="2076"/>
      <c r="DH83" s="2076"/>
      <c r="DI83" s="397">
        <f>IF(DG83=0,0,(DH83-DG83)/DG83*100)</f>
        <v>0</v>
      </c>
      <c r="DJ83" s="2076"/>
      <c r="DK83" s="2076"/>
      <c r="DL83" s="397">
        <f>IF(DJ83=0,0,(DK83-DJ83)/DJ83*100)</f>
        <v>0</v>
      </c>
      <c r="DM83" s="2076"/>
      <c r="DN83" s="2076"/>
      <c r="DO83" s="397">
        <f>IF(DM83=0,0,(DN83-DM83)/DM83*100)</f>
        <v>0</v>
      </c>
      <c r="DP83" s="2076"/>
      <c r="DQ83" s="2076"/>
      <c r="DR83" s="397">
        <f>IF(DP83=0,0,(DQ83-DP83)/DP83*100)</f>
        <v>0</v>
      </c>
      <c r="DS83" s="2076"/>
      <c r="DT83" s="2076"/>
      <c r="DU83" s="397">
        <f>IF(DS83=0,0,(DT83-DS83)/DS83*100)</f>
        <v>0</v>
      </c>
      <c r="DV83" s="2076"/>
      <c r="DW83" s="2076"/>
      <c r="DX83" s="397">
        <f>IF(DV83=0,0,(DW83-DV83)/DV83*100)</f>
        <v>0</v>
      </c>
      <c r="DY83" s="2076"/>
      <c r="DZ83" s="2076"/>
      <c r="EA83" s="397">
        <f>IF(DY83=0,0,(DZ83-DY83)/DY83*100)</f>
        <v>0</v>
      </c>
      <c r="EB83" s="2076"/>
      <c r="EC83" s="2076"/>
      <c r="ED83" s="397">
        <f>IF(EB83=0,0,(EC83-EB83)/EB83*100)</f>
        <v>0</v>
      </c>
      <c r="EE83" s="2076"/>
      <c r="EF83" s="2076"/>
      <c r="EG83" s="397">
        <f>IF(EE83=0,0,(EF83-EE83)/EE83*100)</f>
        <v>0</v>
      </c>
      <c r="EH83" s="2076"/>
      <c r="EI83" s="2076"/>
      <c r="EJ83" s="397">
        <f>IF(EH83=0,0,(EI83-EH83)/EH83*100)</f>
        <v>0</v>
      </c>
      <c r="EK83" s="2076"/>
      <c r="EL83" s="2076"/>
      <c r="EM83" s="397">
        <f>IF(EK83=0,0,(EL83-EK83)/EK83*100)</f>
        <v>0</v>
      </c>
      <c r="EN83" s="2076"/>
      <c r="EO83" s="2076"/>
      <c r="EP83" s="397">
        <f>IF(EN83=0,0,(EO83-EN83)/EN83*100)</f>
        <v>0</v>
      </c>
      <c r="EQ83" s="2076"/>
      <c r="ER83" s="2076"/>
      <c r="ES83" s="397">
        <f>IF(EQ83=0,0,(ER83-EQ83)/EQ83*100)</f>
        <v>0</v>
      </c>
      <c r="ET83" s="2076"/>
      <c r="EU83" s="2076"/>
      <c r="EV83" s="397">
        <f>IF(ET83=0,0,(EU83-ET83)/ET83*100)</f>
        <v>0</v>
      </c>
      <c r="EW83" s="2076"/>
      <c r="EX83" s="2076"/>
      <c r="EY83" s="397">
        <f>IF(EW83=0,0,(EX83-EW83)/EW83*100)</f>
        <v>0</v>
      </c>
      <c r="EZ83" s="2076"/>
      <c r="FA83" s="2076"/>
      <c r="FB83" s="397">
        <f>IF(EZ83=0,0,(FA83-EZ83)/EZ83*100)</f>
        <v>0</v>
      </c>
      <c r="FC83" s="2076"/>
      <c r="FD83" s="2076"/>
      <c r="FE83" s="397">
        <f>IF(FC83=0,0,(FD83-FC83)/FC83*100)</f>
        <v>0</v>
      </c>
      <c r="FF83" s="2076"/>
      <c r="FG83" s="2076"/>
      <c r="FH83" s="397">
        <f>IF(FF83=0,0,(FG83-FF83)/FF83*100)</f>
        <v>0</v>
      </c>
      <c r="FI83" s="2076"/>
      <c r="FJ83" s="2076"/>
      <c r="FK83" s="397">
        <f>IF(FI83=0,0,(FJ83-FI83)/FI83*100)</f>
        <v>0</v>
      </c>
      <c r="FL83" s="2076"/>
      <c r="FM83" s="2076"/>
      <c r="FN83" s="397">
        <f>IF(FL83=0,0,(FM83-FL83)/FL83*100)</f>
        <v>0</v>
      </c>
      <c r="FO83" s="2076"/>
      <c r="FP83" s="2076"/>
      <c r="FQ83" s="397">
        <f>IF(FO83=0,0,(FP83-FO83)/FO83*100)</f>
        <v>0</v>
      </c>
      <c r="FR83" s="2076"/>
      <c r="FS83" s="2076"/>
      <c r="FT83" s="397">
        <f>IF(FR83=0,0,(FS83-FR83)/FR83*100)</f>
        <v>0</v>
      </c>
      <c r="FU83" s="2076"/>
      <c r="FV83" s="2076"/>
      <c r="FW83" s="397">
        <f>IF(FU83=0,0,(FV83-FU83)/FU83*100)</f>
        <v>0</v>
      </c>
      <c r="FX83" s="497"/>
      <c r="FY83" s="497"/>
      <c r="FZ83" s="1182" t="s">
        <v>2075</v>
      </c>
      <c r="GA83" s="1217"/>
      <c r="GB83" s="1217"/>
      <c r="GC83" s="1217"/>
      <c r="GD83" s="1217"/>
    </row>
    <row s="1642" customFormat="1" customHeight="1" ht="16.5">
      <c r="A84" s="1437"/>
      <c r="B84" s="962" cm="1" t="str">
        <f t="array" ref="B84:B84">B83</f>
        <v>true</v>
      </c>
      <c r="C84" s="1323" t="s">
        <v>1689</v>
      </c>
      <c r="D84" s="1292" t="s">
        <v>1690</v>
      </c>
      <c r="E84" s="794">
        <v>17.1</v>
      </c>
      <c r="F84" s="920" cm="1" t="str">
        <f t="array" ref="F84:F84">OFFSET(G84,-1,-1)</f>
        <v>1</v>
      </c>
      <c r="G84" s="190" t="s">
        <v>1700</v>
      </c>
      <c r="H84" s="497"/>
      <c r="I84" s="497"/>
      <c r="J84" s="1313" t="s">
        <v>2058</v>
      </c>
      <c r="K84" s="1313" cm="1" t="str">
        <f t="array" ref="K84:K84">OFFSET(J84,-1,1)</f>
        <v>ТЭ.73.28136693.0002</v>
      </c>
      <c r="L84" s="1313" t="s">
        <v>2072</v>
      </c>
      <c r="M84" s="1313" t="s">
        <v>1701</v>
      </c>
      <c r="N84" s="1313" t="s">
        <v>2060</v>
      </c>
      <c r="O84" s="1314" t="s">
        <v>2061</v>
      </c>
      <c r="P84" s="1313"/>
      <c r="Q84" s="1313"/>
      <c r="R84" s="926"/>
      <c r="S84" s="497"/>
      <c r="T84" s="805" cm="1" t="str">
        <f t="array" ref="T84:T84">T83</f>
        <v>true</v>
      </c>
      <c r="U84" s="1437"/>
      <c r="V84" s="1437"/>
      <c r="W84" s="1437"/>
      <c r="X84" s="1437"/>
      <c r="Y84" s="1437"/>
      <c r="Z84" s="1437"/>
      <c r="AA84" s="497"/>
      <c r="AB84" s="286" t="s">
        <v>1702</v>
      </c>
      <c r="AC84" s="169" t="s">
        <v>586</v>
      </c>
      <c r="AD84" s="207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130315.05797</v>
      </c>
      <c r="AE84" s="207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141260.45</v>
      </c>
      <c r="AF84" s="397">
        <f>IF(AD84=0,0,(AE84-AD84)/AD84*100)</f>
        <v>8.39917673406535</v>
      </c>
      <c r="AG84" s="206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6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06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6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07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7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07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7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07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7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07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7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07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7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07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7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07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7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076"/>
      <c r="BI84" s="2076"/>
      <c r="BJ84" s="397">
        <f>IF(BH84=0,0,(BI84-BH84)/BH84*100)</f>
        <v>0</v>
      </c>
      <c r="BK84" s="2076"/>
      <c r="BL84" s="2076"/>
      <c r="BM84" s="397">
        <f>IF(BK84=0,0,(BL84-BK84)/BK84*100)</f>
        <v>0</v>
      </c>
      <c r="BN84" s="2076"/>
      <c r="BO84" s="2076"/>
      <c r="BP84" s="397">
        <f>IF(BN84=0,0,(BO84-BN84)/BN84*100)</f>
        <v>0</v>
      </c>
      <c r="BQ84" s="2076"/>
      <c r="BR84" s="2076"/>
      <c r="BS84" s="397">
        <f>IF(BQ84=0,0,(BR84-BQ84)/BQ84*100)</f>
        <v>0</v>
      </c>
      <c r="BT84" s="2076"/>
      <c r="BU84" s="2076"/>
      <c r="BV84" s="397">
        <f>IF(BT84=0,0,(BU84-BT84)/BT84*100)</f>
        <v>0</v>
      </c>
      <c r="BW84" s="2076"/>
      <c r="BX84" s="2076"/>
      <c r="BY84" s="397">
        <f>IF(BW84=0,0,(BX84-BW84)/BW84*100)</f>
        <v>0</v>
      </c>
      <c r="BZ84" s="2076"/>
      <c r="CA84" s="2076"/>
      <c r="CB84" s="397">
        <f>IF(BZ84=0,0,(CA84-BZ84)/BZ84*100)</f>
        <v>0</v>
      </c>
      <c r="CC84" s="2076"/>
      <c r="CD84" s="2076"/>
      <c r="CE84" s="397">
        <f>IF(CC84=0,0,(CD84-CC84)/CC84*100)</f>
        <v>0</v>
      </c>
      <c r="CF84" s="2076"/>
      <c r="CG84" s="2076"/>
      <c r="CH84" s="397">
        <f>IF(CF84=0,0,(CG84-CF84)/CF84*100)</f>
        <v>0</v>
      </c>
      <c r="CI84" s="2076"/>
      <c r="CJ84" s="2076"/>
      <c r="CK84" s="397">
        <f>IF(CI84=0,0,(CJ84-CI84)/CI84*100)</f>
        <v>0</v>
      </c>
      <c r="CL84" s="2076"/>
      <c r="CM84" s="2076"/>
      <c r="CN84" s="397">
        <f>IF(CL84=0,0,(CM84-CL84)/CL84*100)</f>
        <v>0</v>
      </c>
      <c r="CO84" s="2076"/>
      <c r="CP84" s="2076"/>
      <c r="CQ84" s="397">
        <f>IF(CO84=0,0,(CP84-CO84)/CO84*100)</f>
        <v>0</v>
      </c>
      <c r="CR84" s="2076"/>
      <c r="CS84" s="2076"/>
      <c r="CT84" s="397">
        <f>IF(CR84=0,0,(CS84-CR84)/CR84*100)</f>
        <v>0</v>
      </c>
      <c r="CU84" s="2076"/>
      <c r="CV84" s="2076"/>
      <c r="CW84" s="397">
        <f>IF(CU84=0,0,(CV84-CU84)/CU84*100)</f>
        <v>0</v>
      </c>
      <c r="CX84" s="2076"/>
      <c r="CY84" s="2076"/>
      <c r="CZ84" s="397">
        <f>IF(CX84=0,0,(CY84-CX84)/CX84*100)</f>
        <v>0</v>
      </c>
      <c r="DA84" s="2076"/>
      <c r="DB84" s="2076"/>
      <c r="DC84" s="397">
        <f>IF(DA84=0,0,(DB84-DA84)/DA84*100)</f>
        <v>0</v>
      </c>
      <c r="DD84" s="2076"/>
      <c r="DE84" s="2076"/>
      <c r="DF84" s="397">
        <f>IF(DD84=0,0,(DE84-DD84)/DD84*100)</f>
        <v>0</v>
      </c>
      <c r="DG84" s="2076"/>
      <c r="DH84" s="2076"/>
      <c r="DI84" s="397">
        <f>IF(DG84=0,0,(DH84-DG84)/DG84*100)</f>
        <v>0</v>
      </c>
      <c r="DJ84" s="2076"/>
      <c r="DK84" s="2076"/>
      <c r="DL84" s="397">
        <f>IF(DJ84=0,0,(DK84-DJ84)/DJ84*100)</f>
        <v>0</v>
      </c>
      <c r="DM84" s="2076"/>
      <c r="DN84" s="2076"/>
      <c r="DO84" s="397">
        <f>IF(DM84=0,0,(DN84-DM84)/DM84*100)</f>
        <v>0</v>
      </c>
      <c r="DP84" s="2076"/>
      <c r="DQ84" s="2076"/>
      <c r="DR84" s="397">
        <f>IF(DP84=0,0,(DQ84-DP84)/DP84*100)</f>
        <v>0</v>
      </c>
      <c r="DS84" s="2076"/>
      <c r="DT84" s="2076"/>
      <c r="DU84" s="397">
        <f>IF(DS84=0,0,(DT84-DS84)/DS84*100)</f>
        <v>0</v>
      </c>
      <c r="DV84" s="2076"/>
      <c r="DW84" s="2076"/>
      <c r="DX84" s="397">
        <f>IF(DV84=0,0,(DW84-DV84)/DV84*100)</f>
        <v>0</v>
      </c>
      <c r="DY84" s="2076"/>
      <c r="DZ84" s="2076"/>
      <c r="EA84" s="397">
        <f>IF(DY84=0,0,(DZ84-DY84)/DY84*100)</f>
        <v>0</v>
      </c>
      <c r="EB84" s="2076"/>
      <c r="EC84" s="2076"/>
      <c r="ED84" s="397">
        <f>IF(EB84=0,0,(EC84-EB84)/EB84*100)</f>
        <v>0</v>
      </c>
      <c r="EE84" s="2076"/>
      <c r="EF84" s="2076"/>
      <c r="EG84" s="397">
        <f>IF(EE84=0,0,(EF84-EE84)/EE84*100)</f>
        <v>0</v>
      </c>
      <c r="EH84" s="2076"/>
      <c r="EI84" s="2076"/>
      <c r="EJ84" s="397">
        <f>IF(EH84=0,0,(EI84-EH84)/EH84*100)</f>
        <v>0</v>
      </c>
      <c r="EK84" s="2076"/>
      <c r="EL84" s="2076"/>
      <c r="EM84" s="397">
        <f>IF(EK84=0,0,(EL84-EK84)/EK84*100)</f>
        <v>0</v>
      </c>
      <c r="EN84" s="2076"/>
      <c r="EO84" s="2076"/>
      <c r="EP84" s="397">
        <f>IF(EN84=0,0,(EO84-EN84)/EN84*100)</f>
        <v>0</v>
      </c>
      <c r="EQ84" s="2076"/>
      <c r="ER84" s="2076"/>
      <c r="ES84" s="397">
        <f>IF(EQ84=0,0,(ER84-EQ84)/EQ84*100)</f>
        <v>0</v>
      </c>
      <c r="ET84" s="2076"/>
      <c r="EU84" s="2076"/>
      <c r="EV84" s="397">
        <f>IF(ET84=0,0,(EU84-ET84)/ET84*100)</f>
        <v>0</v>
      </c>
      <c r="EW84" s="2076"/>
      <c r="EX84" s="2076"/>
      <c r="EY84" s="397">
        <f>IF(EW84=0,0,(EX84-EW84)/EW84*100)</f>
        <v>0</v>
      </c>
      <c r="EZ84" s="2076"/>
      <c r="FA84" s="2076"/>
      <c r="FB84" s="397">
        <f>IF(EZ84=0,0,(FA84-EZ84)/EZ84*100)</f>
        <v>0</v>
      </c>
      <c r="FC84" s="2076"/>
      <c r="FD84" s="2076"/>
      <c r="FE84" s="397">
        <f>IF(FC84=0,0,(FD84-FC84)/FC84*100)</f>
        <v>0</v>
      </c>
      <c r="FF84" s="2076"/>
      <c r="FG84" s="2076"/>
      <c r="FH84" s="397">
        <f>IF(FF84=0,0,(FG84-FF84)/FF84*100)</f>
        <v>0</v>
      </c>
      <c r="FI84" s="2076"/>
      <c r="FJ84" s="2076"/>
      <c r="FK84" s="397">
        <f>IF(FI84=0,0,(FJ84-FI84)/FI84*100)</f>
        <v>0</v>
      </c>
      <c r="FL84" s="2076"/>
      <c r="FM84" s="2076"/>
      <c r="FN84" s="397">
        <f>IF(FL84=0,0,(FM84-FL84)/FL84*100)</f>
        <v>0</v>
      </c>
      <c r="FO84" s="2076"/>
      <c r="FP84" s="2076"/>
      <c r="FQ84" s="397">
        <f>IF(FO84=0,0,(FP84-FO84)/FO84*100)</f>
        <v>0</v>
      </c>
      <c r="FR84" s="2076"/>
      <c r="FS84" s="2076"/>
      <c r="FT84" s="397">
        <f>IF(FR84=0,0,(FS84-FR84)/FR84*100)</f>
        <v>0</v>
      </c>
      <c r="FU84" s="2076"/>
      <c r="FV84" s="2076"/>
      <c r="FW84" s="397">
        <f>IF(FU84=0,0,(FV84-FU84)/FU84*100)</f>
        <v>0</v>
      </c>
      <c r="FX84" s="497"/>
      <c r="FY84" s="497"/>
      <c r="FZ84" s="1182" t="s">
        <v>2076</v>
      </c>
      <c r="GA84" s="1217"/>
      <c r="GB84" s="1217"/>
      <c r="GC84" s="1217"/>
      <c r="GD84" s="1217"/>
    </row>
    <row s="2077" customFormat="1" customHeight="1" ht="31.5">
      <c r="A85" s="360"/>
      <c r="B85" s="962" cm="1" t="str">
        <f t="array" ref="B85:B85">B84</f>
        <v>true</v>
      </c>
      <c r="C85" s="1323" t="s">
        <v>2077</v>
      </c>
      <c r="D85" s="1292" t="s">
        <v>2078</v>
      </c>
      <c r="E85" s="794">
        <v>17.1</v>
      </c>
      <c r="F85" s="920" cm="1" t="str">
        <f t="array" ref="F85:F85">OFFSET(G85,-1,-1)</f>
        <v>1</v>
      </c>
      <c r="G85" s="360"/>
      <c r="H85" s="210" t="s">
        <v>488</v>
      </c>
      <c r="I85" s="210" t="s">
        <v>2079</v>
      </c>
      <c r="J85" s="1313" t="s">
        <v>2058</v>
      </c>
      <c r="K85" s="1313" cm="1" t="str">
        <f t="array" ref="K85:K85">OFFSET(J85,-1,1)</f>
        <v>ТЭ.73.28136693.0002</v>
      </c>
      <c r="L85" s="1313"/>
      <c r="M85" s="1313" t="s">
        <v>1692</v>
      </c>
      <c r="N85" s="1313" t="s">
        <v>2080</v>
      </c>
      <c r="O85" s="1314" t="s">
        <v>2081</v>
      </c>
      <c r="P85" s="1313"/>
      <c r="Q85" s="1313"/>
      <c r="R85" s="360"/>
      <c r="S85" s="360"/>
      <c r="T85" s="805" cm="1" t="str">
        <f t="array" ref="T85:T85">T84</f>
        <v>true</v>
      </c>
      <c r="U85" s="360"/>
      <c r="V85" s="360"/>
      <c r="W85" s="360"/>
      <c r="X85" s="360"/>
      <c r="Y85" s="360"/>
      <c r="Z85" s="360"/>
      <c r="AA85" s="360"/>
      <c r="AB85" s="1352" t="s">
        <v>2082</v>
      </c>
      <c r="AC85" s="361" t="s">
        <v>889</v>
      </c>
      <c r="AD85" s="2074">
        <f>IF(tax_system="ОСНО",AD79*Сценарии!AE$26,AD79)</f>
        <v>0</v>
      </c>
      <c r="AE85" s="2074">
        <f>IF(tax_system="ОСНО",AE79*Сценарии!AO$26,AE79)</f>
        <v>0</v>
      </c>
      <c r="AF85" s="363">
        <f>IF(AD85=0,0,(AE85-AD85)/AD85*100)</f>
        <v>0</v>
      </c>
      <c r="AG85" s="2060">
        <f>IF(tax_system="ОСНО",AG79*Сценарии!AF$26,AG79)</f>
        <v>0</v>
      </c>
      <c r="AH85" s="2060">
        <f>IF(tax_system="ОСНО",AH79*Сценарии!AP$26,AH79)</f>
        <v>0</v>
      </c>
      <c r="AI85" s="363">
        <f>IF(AG85=0,0,(AH85-AG85)/AG85*100)</f>
        <v>0</v>
      </c>
      <c r="AJ85" s="2060">
        <f>IF(tax_system="ОСНО",AJ79*Сценарии!AG$26,AJ79)</f>
        <v>0</v>
      </c>
      <c r="AK85" s="2060">
        <f>IF(tax_system="ОСНО",AK79*Сценарии!AQ$26,AK79)</f>
        <v>0</v>
      </c>
      <c r="AL85" s="363">
        <f>IF(AJ85=0,0,(AK85-AJ85)/AJ85*100)</f>
        <v>0</v>
      </c>
      <c r="AM85" s="2074">
        <f>IF(tax_system="ОСНО",AM79*Сценарии!AH$26,AM79)</f>
        <v>0</v>
      </c>
      <c r="AN85" s="2074">
        <f>IF(tax_system="ОСНО",AN79*Сценарии!AR$26,AN79)</f>
        <v>0</v>
      </c>
      <c r="AO85" s="363">
        <f>IF(AM85=0,0,(AN85-AM85)/AM85*100)</f>
        <v>0</v>
      </c>
      <c r="AP85" s="2074">
        <f>IF(tax_system="ОСНО",AP79*Сценарии!AI$26,AP79)</f>
        <v>0</v>
      </c>
      <c r="AQ85" s="2074">
        <f>IF(tax_system="ОСНО",AQ79*Сценарии!AS$26,AQ79)</f>
        <v>0</v>
      </c>
      <c r="AR85" s="363">
        <f>IF(AP85=0,0,(AQ85-AP85)/AP85*100)</f>
        <v>0</v>
      </c>
      <c r="AS85" s="2074">
        <f>IF(tax_system="ОСНО",AS79*Сценарии!AJ$26,AS79)</f>
        <v>0</v>
      </c>
      <c r="AT85" s="2074">
        <f>IF(tax_system="ОСНО",AT79*Сценарии!AT$26,AT79)</f>
        <v>0</v>
      </c>
      <c r="AU85" s="363">
        <f>IF(AS85=0,0,(AT85-AS85)/AS85*100)</f>
        <v>0</v>
      </c>
      <c r="AV85" s="2074">
        <f>IF(tax_system="ОСНО",AV79*Сценарии!AK$26,AV79)</f>
        <v>0</v>
      </c>
      <c r="AW85" s="2074">
        <f>IF(tax_system="ОСНО",AW79*Сценарии!AU$26,AW79)</f>
        <v>0</v>
      </c>
      <c r="AX85" s="363">
        <f>IF(AV85=0,0,(AW85-AV85)/AV85*100)</f>
        <v>0</v>
      </c>
      <c r="AY85" s="2074">
        <f>IF(tax_system="ОСНО",AY79*Сценарии!AL$26,AY79)</f>
        <v>0</v>
      </c>
      <c r="AZ85" s="2074">
        <f>IF(tax_system="ОСНО",AZ79*Сценарии!AV$26,AZ79)</f>
        <v>0</v>
      </c>
      <c r="BA85" s="363">
        <f>IF(AY85=0,0,(AZ85-AY85)/AY85*100)</f>
        <v>0</v>
      </c>
      <c r="BB85" s="2074">
        <f>IF(tax_system="ОСНО",BB79*Сценарии!AM$26,BB79)</f>
        <v>0</v>
      </c>
      <c r="BC85" s="2074">
        <f>IF(tax_system="ОСНО",BC79*Сценарии!AW$26,BC79)</f>
        <v>0</v>
      </c>
      <c r="BD85" s="363">
        <f>IF(BB85=0,0,(BC85-BB85)/BB85*100)</f>
        <v>0</v>
      </c>
      <c r="BE85" s="2074">
        <f>IF(tax_system="ОСНО",BE79*Сценарии!AN$26,BE79)</f>
        <v>0</v>
      </c>
      <c r="BF85" s="2074">
        <f>IF(tax_system="ОСНО",BF79*Сценарии!AX$26,BF79)</f>
        <v>0</v>
      </c>
      <c r="BG85" s="363">
        <f>IF(BE85=0,0,(BF85-BE85)/BE85*100)</f>
        <v>0</v>
      </c>
      <c r="BH85" s="2074"/>
      <c r="BI85" s="2074"/>
      <c r="BJ85" s="363">
        <f>IF(BH85=0,0,(BI85-BH85)/BH85*100)</f>
        <v>0</v>
      </c>
      <c r="BK85" s="2074"/>
      <c r="BL85" s="2074"/>
      <c r="BM85" s="363">
        <f>IF(BK85=0,0,(BL85-BK85)/BK85*100)</f>
        <v>0</v>
      </c>
      <c r="BN85" s="2074"/>
      <c r="BO85" s="2074"/>
      <c r="BP85" s="363">
        <f>IF(BN85=0,0,(BO85-BN85)/BN85*100)</f>
        <v>0</v>
      </c>
      <c r="BQ85" s="2074"/>
      <c r="BR85" s="2074"/>
      <c r="BS85" s="363">
        <f>IF(BQ85=0,0,(BR85-BQ85)/BQ85*100)</f>
        <v>0</v>
      </c>
      <c r="BT85" s="2074"/>
      <c r="BU85" s="2074"/>
      <c r="BV85" s="363">
        <f>IF(BT85=0,0,(BU85-BT85)/BT85*100)</f>
        <v>0</v>
      </c>
      <c r="BW85" s="2074"/>
      <c r="BX85" s="2074"/>
      <c r="BY85" s="363">
        <f>IF(BW85=0,0,(BX85-BW85)/BW85*100)</f>
        <v>0</v>
      </c>
      <c r="BZ85" s="2074"/>
      <c r="CA85" s="2074"/>
      <c r="CB85" s="363">
        <f>IF(BZ85=0,0,(CA85-BZ85)/BZ85*100)</f>
        <v>0</v>
      </c>
      <c r="CC85" s="2074"/>
      <c r="CD85" s="2074"/>
      <c r="CE85" s="363">
        <f>IF(CC85=0,0,(CD85-CC85)/CC85*100)</f>
        <v>0</v>
      </c>
      <c r="CF85" s="2074"/>
      <c r="CG85" s="2074"/>
      <c r="CH85" s="363">
        <f>IF(CF85=0,0,(CG85-CF85)/CF85*100)</f>
        <v>0</v>
      </c>
      <c r="CI85" s="2074"/>
      <c r="CJ85" s="2074"/>
      <c r="CK85" s="363">
        <f>IF(CI85=0,0,(CJ85-CI85)/CI85*100)</f>
        <v>0</v>
      </c>
      <c r="CL85" s="2074"/>
      <c r="CM85" s="2074"/>
      <c r="CN85" s="363">
        <f>IF(CL85=0,0,(CM85-CL85)/CL85*100)</f>
        <v>0</v>
      </c>
      <c r="CO85" s="2074"/>
      <c r="CP85" s="2074"/>
      <c r="CQ85" s="363">
        <f>IF(CO85=0,0,(CP85-CO85)/CO85*100)</f>
        <v>0</v>
      </c>
      <c r="CR85" s="2074"/>
      <c r="CS85" s="2074"/>
      <c r="CT85" s="363">
        <f>IF(CR85=0,0,(CS85-CR85)/CR85*100)</f>
        <v>0</v>
      </c>
      <c r="CU85" s="2074"/>
      <c r="CV85" s="2074"/>
      <c r="CW85" s="363">
        <f>IF(CU85=0,0,(CV85-CU85)/CU85*100)</f>
        <v>0</v>
      </c>
      <c r="CX85" s="2074"/>
      <c r="CY85" s="2074"/>
      <c r="CZ85" s="363">
        <f>IF(CX85=0,0,(CY85-CX85)/CX85*100)</f>
        <v>0</v>
      </c>
      <c r="DA85" s="2074"/>
      <c r="DB85" s="2074"/>
      <c r="DC85" s="363">
        <f>IF(DA85=0,0,(DB85-DA85)/DA85*100)</f>
        <v>0</v>
      </c>
      <c r="DD85" s="2074"/>
      <c r="DE85" s="2074"/>
      <c r="DF85" s="363">
        <f>IF(DD85=0,0,(DE85-DD85)/DD85*100)</f>
        <v>0</v>
      </c>
      <c r="DG85" s="2074"/>
      <c r="DH85" s="2074"/>
      <c r="DI85" s="363">
        <f>IF(DG85=0,0,(DH85-DG85)/DG85*100)</f>
        <v>0</v>
      </c>
      <c r="DJ85" s="2074"/>
      <c r="DK85" s="2074"/>
      <c r="DL85" s="363">
        <f>IF(DJ85=0,0,(DK85-DJ85)/DJ85*100)</f>
        <v>0</v>
      </c>
      <c r="DM85" s="2074"/>
      <c r="DN85" s="2074"/>
      <c r="DO85" s="363">
        <f>IF(DM85=0,0,(DN85-DM85)/DM85*100)</f>
        <v>0</v>
      </c>
      <c r="DP85" s="2074"/>
      <c r="DQ85" s="2074"/>
      <c r="DR85" s="363">
        <f>IF(DP85=0,0,(DQ85-DP85)/DP85*100)</f>
        <v>0</v>
      </c>
      <c r="DS85" s="2074"/>
      <c r="DT85" s="2074"/>
      <c r="DU85" s="363">
        <f>IF(DS85=0,0,(DT85-DS85)/DS85*100)</f>
        <v>0</v>
      </c>
      <c r="DV85" s="2074"/>
      <c r="DW85" s="2074"/>
      <c r="DX85" s="363">
        <f>IF(DV85=0,0,(DW85-DV85)/DV85*100)</f>
        <v>0</v>
      </c>
      <c r="DY85" s="2074"/>
      <c r="DZ85" s="2074"/>
      <c r="EA85" s="363">
        <f>IF(DY85=0,0,(DZ85-DY85)/DY85*100)</f>
        <v>0</v>
      </c>
      <c r="EB85" s="2074"/>
      <c r="EC85" s="2074"/>
      <c r="ED85" s="363">
        <f>IF(EB85=0,0,(EC85-EB85)/EB85*100)</f>
        <v>0</v>
      </c>
      <c r="EE85" s="2074"/>
      <c r="EF85" s="2074"/>
      <c r="EG85" s="363">
        <f>IF(EE85=0,0,(EF85-EE85)/EE85*100)</f>
        <v>0</v>
      </c>
      <c r="EH85" s="2074"/>
      <c r="EI85" s="2074"/>
      <c r="EJ85" s="363">
        <f>IF(EH85=0,0,(EI85-EH85)/EH85*100)</f>
        <v>0</v>
      </c>
      <c r="EK85" s="2074"/>
      <c r="EL85" s="2074"/>
      <c r="EM85" s="363">
        <f>IF(EK85=0,0,(EL85-EK85)/EK85*100)</f>
        <v>0</v>
      </c>
      <c r="EN85" s="2074"/>
      <c r="EO85" s="2074"/>
      <c r="EP85" s="363">
        <f>IF(EN85=0,0,(EO85-EN85)/EN85*100)</f>
        <v>0</v>
      </c>
      <c r="EQ85" s="2074"/>
      <c r="ER85" s="2074"/>
      <c r="ES85" s="363">
        <f>IF(EQ85=0,0,(ER85-EQ85)/EQ85*100)</f>
        <v>0</v>
      </c>
      <c r="ET85" s="2074"/>
      <c r="EU85" s="2074"/>
      <c r="EV85" s="363">
        <f>IF(ET85=0,0,(EU85-ET85)/ET85*100)</f>
        <v>0</v>
      </c>
      <c r="EW85" s="2074"/>
      <c r="EX85" s="2074"/>
      <c r="EY85" s="363">
        <f>IF(EW85=0,0,(EX85-EW85)/EW85*100)</f>
        <v>0</v>
      </c>
      <c r="EZ85" s="2074"/>
      <c r="FA85" s="2074"/>
      <c r="FB85" s="363">
        <f>IF(EZ85=0,0,(FA85-EZ85)/EZ85*100)</f>
        <v>0</v>
      </c>
      <c r="FC85" s="2074"/>
      <c r="FD85" s="2074"/>
      <c r="FE85" s="363">
        <f>IF(FC85=0,0,(FD85-FC85)/FC85*100)</f>
        <v>0</v>
      </c>
      <c r="FF85" s="2074"/>
      <c r="FG85" s="2074"/>
      <c r="FH85" s="363">
        <f>IF(FF85=0,0,(FG85-FF85)/FF85*100)</f>
        <v>0</v>
      </c>
      <c r="FI85" s="2074"/>
      <c r="FJ85" s="2074"/>
      <c r="FK85" s="363">
        <f>IF(FI85=0,0,(FJ85-FI85)/FI85*100)</f>
        <v>0</v>
      </c>
      <c r="FL85" s="2074"/>
      <c r="FM85" s="2074"/>
      <c r="FN85" s="363">
        <f>IF(FL85=0,0,(FM85-FL85)/FL85*100)</f>
        <v>0</v>
      </c>
      <c r="FO85" s="2074"/>
      <c r="FP85" s="2074"/>
      <c r="FQ85" s="363">
        <f>IF(FO85=0,0,(FP85-FO85)/FO85*100)</f>
        <v>0</v>
      </c>
      <c r="FR85" s="2074"/>
      <c r="FS85" s="2074"/>
      <c r="FT85" s="363">
        <f>IF(FR85=0,0,(FS85-FR85)/FR85*100)</f>
        <v>0</v>
      </c>
      <c r="FU85" s="2074"/>
      <c r="FV85" s="2074"/>
      <c r="FW85" s="363">
        <f>IF(FU85=0,0,(FV85-FU85)/FU85*100)</f>
        <v>0</v>
      </c>
      <c r="FX85" s="360"/>
      <c r="FY85" s="360"/>
      <c r="FZ85" s="1182" t="s">
        <v>2083</v>
      </c>
      <c r="GA85" s="1217"/>
      <c r="GB85" s="1217"/>
      <c r="GC85" s="1217"/>
      <c r="GD85" s="1217"/>
    </row>
    <row s="2078" customFormat="1" customHeight="1" ht="39">
      <c r="A86" s="360"/>
      <c r="B86" s="962" cm="1" t="str">
        <f t="array" ref="B86:B86">B85</f>
        <v>true</v>
      </c>
      <c r="C86" s="1323" t="s">
        <v>2077</v>
      </c>
      <c r="D86" s="1292" t="s">
        <v>2078</v>
      </c>
      <c r="E86" s="794">
        <v>17.1</v>
      </c>
      <c r="F86" s="920" cm="1" t="str">
        <f t="array" ref="F86:F86">OFFSET(G86,-1,-1)</f>
        <v>1</v>
      </c>
      <c r="G86" s="360"/>
      <c r="H86" s="210" t="s">
        <v>488</v>
      </c>
      <c r="I86" s="210" t="s">
        <v>2084</v>
      </c>
      <c r="J86" s="1313" t="s">
        <v>2058</v>
      </c>
      <c r="K86" s="1313" cm="1" t="str">
        <f t="array" ref="K86:K86">OFFSET(J86,-1,1)</f>
        <v>ТЭ.73.28136693.0002</v>
      </c>
      <c r="L86" s="1313"/>
      <c r="M86" s="1313" t="s">
        <v>1701</v>
      </c>
      <c r="N86" s="1313" t="s">
        <v>2080</v>
      </c>
      <c r="O86" s="1314" t="s">
        <v>2081</v>
      </c>
      <c r="P86" s="1313"/>
      <c r="Q86" s="1313"/>
      <c r="R86" s="360"/>
      <c r="S86" s="360"/>
      <c r="T86" s="805" cm="1" t="str">
        <f t="array" ref="T86:T86">T85</f>
        <v>true</v>
      </c>
      <c r="U86" s="360"/>
      <c r="V86" s="360"/>
      <c r="W86" s="360"/>
      <c r="X86" s="360"/>
      <c r="Y86" s="360"/>
      <c r="Z86" s="360"/>
      <c r="AA86" s="360"/>
      <c r="AB86" s="1352" t="s">
        <v>2085</v>
      </c>
      <c r="AC86" s="361" t="s">
        <v>889</v>
      </c>
      <c r="AD86" s="2074">
        <f>IF(tax_system="ОСНО",AD80*Сценарии!AE$26,AD80)</f>
        <v>0</v>
      </c>
      <c r="AE86" s="2074">
        <f>IF(tax_system="ОСНО",AE80*Сценарии!AO$26,AE80)</f>
        <v>0</v>
      </c>
      <c r="AF86" s="363">
        <f>IF(AD86=0,0,(AE86-AD86)/AD86*100)</f>
        <v>0</v>
      </c>
      <c r="AG86" s="2060">
        <f>IF(tax_system="ОСНО",AG80*Сценарии!AF$26,AG80)</f>
        <v>0</v>
      </c>
      <c r="AH86" s="2060">
        <f>IF(tax_system="ОСНО",AH80*Сценарии!AP$26,AH80)</f>
        <v>0</v>
      </c>
      <c r="AI86" s="363">
        <f>IF(AG86=0,0,(AH86-AG86)/AG86*100)</f>
        <v>0</v>
      </c>
      <c r="AJ86" s="2060">
        <f>IF(tax_system="ОСНО",AJ80*Сценарии!AG$26,AJ80)</f>
        <v>0</v>
      </c>
      <c r="AK86" s="2060">
        <f>IF(tax_system="ОСНО",AK80*Сценарии!AQ$26,AK80)</f>
        <v>0</v>
      </c>
      <c r="AL86" s="363">
        <f>IF(AJ86=0,0,(AK86-AJ86)/AJ86*100)</f>
        <v>0</v>
      </c>
      <c r="AM86" s="2074">
        <f>IF(tax_system="ОСНО",AM80*Сценарии!AH$26,AM80)</f>
        <v>0</v>
      </c>
      <c r="AN86" s="2074">
        <f>IF(tax_system="ОСНО",AN80*Сценарии!AR$26,AN80)</f>
        <v>0</v>
      </c>
      <c r="AO86" s="363">
        <f>IF(AM86=0,0,(AN86-AM86)/AM86*100)</f>
        <v>0</v>
      </c>
      <c r="AP86" s="2074">
        <f>IF(tax_system="ОСНО",AP80*Сценарии!AI$26,AP80)</f>
        <v>0</v>
      </c>
      <c r="AQ86" s="2074">
        <f>IF(tax_system="ОСНО",AQ80*Сценарии!AS$26,AQ80)</f>
        <v>0</v>
      </c>
      <c r="AR86" s="363">
        <f>IF(AP86=0,0,(AQ86-AP86)/AP86*100)</f>
        <v>0</v>
      </c>
      <c r="AS86" s="2074">
        <f>IF(tax_system="ОСНО",AS80*Сценарии!AJ$26,AS80)</f>
        <v>0</v>
      </c>
      <c r="AT86" s="2074">
        <f>IF(tax_system="ОСНО",AT80*Сценарии!AT$26,AT80)</f>
        <v>0</v>
      </c>
      <c r="AU86" s="363">
        <f>IF(AS86=0,0,(AT86-AS86)/AS86*100)</f>
        <v>0</v>
      </c>
      <c r="AV86" s="2074">
        <f>IF(tax_system="ОСНО",AV80*Сценарии!AK$26,AV80)</f>
        <v>0</v>
      </c>
      <c r="AW86" s="2074">
        <f>IF(tax_system="ОСНО",AW80*Сценарии!AU$26,AW80)</f>
        <v>0</v>
      </c>
      <c r="AX86" s="363">
        <f>IF(AV86=0,0,(AW86-AV86)/AV86*100)</f>
        <v>0</v>
      </c>
      <c r="AY86" s="2074">
        <f>IF(tax_system="ОСНО",AY80*Сценарии!AL$26,AY80)</f>
        <v>0</v>
      </c>
      <c r="AZ86" s="2074">
        <f>IF(tax_system="ОСНО",AZ80*Сценарии!AV$26,AZ80)</f>
        <v>0</v>
      </c>
      <c r="BA86" s="363">
        <f>IF(AY86=0,0,(AZ86-AY86)/AY86*100)</f>
        <v>0</v>
      </c>
      <c r="BB86" s="2074">
        <f>IF(tax_system="ОСНО",BB80*Сценарии!AM$26,BB80)</f>
        <v>0</v>
      </c>
      <c r="BC86" s="2074">
        <f>IF(tax_system="ОСНО",BC80*Сценарии!AW$26,BC80)</f>
        <v>0</v>
      </c>
      <c r="BD86" s="363">
        <f>IF(BB86=0,0,(BC86-BB86)/BB86*100)</f>
        <v>0</v>
      </c>
      <c r="BE86" s="2074">
        <f>IF(tax_system="ОСНО",BE80*Сценарии!AN$26,BE80)</f>
        <v>0</v>
      </c>
      <c r="BF86" s="2074">
        <f>IF(tax_system="ОСНО",BF80*Сценарии!AX$26,BF80)</f>
        <v>0</v>
      </c>
      <c r="BG86" s="363">
        <f>IF(BE86=0,0,(BF86-BE86)/BE86*100)</f>
        <v>0</v>
      </c>
      <c r="BH86" s="2074"/>
      <c r="BI86" s="2074"/>
      <c r="BJ86" s="363">
        <f>IF(BH86=0,0,(BI86-BH86)/BH86*100)</f>
        <v>0</v>
      </c>
      <c r="BK86" s="2074"/>
      <c r="BL86" s="2074"/>
      <c r="BM86" s="363">
        <f>IF(BK86=0,0,(BL86-BK86)/BK86*100)</f>
        <v>0</v>
      </c>
      <c r="BN86" s="2074"/>
      <c r="BO86" s="2074"/>
      <c r="BP86" s="363">
        <f>IF(BN86=0,0,(BO86-BN86)/BN86*100)</f>
        <v>0</v>
      </c>
      <c r="BQ86" s="2074"/>
      <c r="BR86" s="2074"/>
      <c r="BS86" s="363">
        <f>IF(BQ86=0,0,(BR86-BQ86)/BQ86*100)</f>
        <v>0</v>
      </c>
      <c r="BT86" s="2074"/>
      <c r="BU86" s="2074"/>
      <c r="BV86" s="363">
        <f>IF(BT86=0,0,(BU86-BT86)/BT86*100)</f>
        <v>0</v>
      </c>
      <c r="BW86" s="2074"/>
      <c r="BX86" s="2074"/>
      <c r="BY86" s="363">
        <f>IF(BW86=0,0,(BX86-BW86)/BW86*100)</f>
        <v>0</v>
      </c>
      <c r="BZ86" s="2074"/>
      <c r="CA86" s="2074"/>
      <c r="CB86" s="363">
        <f>IF(BZ86=0,0,(CA86-BZ86)/BZ86*100)</f>
        <v>0</v>
      </c>
      <c r="CC86" s="2074"/>
      <c r="CD86" s="2074"/>
      <c r="CE86" s="363">
        <f>IF(CC86=0,0,(CD86-CC86)/CC86*100)</f>
        <v>0</v>
      </c>
      <c r="CF86" s="2074"/>
      <c r="CG86" s="2074"/>
      <c r="CH86" s="363">
        <f>IF(CF86=0,0,(CG86-CF86)/CF86*100)</f>
        <v>0</v>
      </c>
      <c r="CI86" s="2074"/>
      <c r="CJ86" s="2074"/>
      <c r="CK86" s="363">
        <f>IF(CI86=0,0,(CJ86-CI86)/CI86*100)</f>
        <v>0</v>
      </c>
      <c r="CL86" s="2074"/>
      <c r="CM86" s="2074"/>
      <c r="CN86" s="363">
        <f>IF(CL86=0,0,(CM86-CL86)/CL86*100)</f>
        <v>0</v>
      </c>
      <c r="CO86" s="2074"/>
      <c r="CP86" s="2074"/>
      <c r="CQ86" s="363">
        <f>IF(CO86=0,0,(CP86-CO86)/CO86*100)</f>
        <v>0</v>
      </c>
      <c r="CR86" s="2074"/>
      <c r="CS86" s="2074"/>
      <c r="CT86" s="363">
        <f>IF(CR86=0,0,(CS86-CR86)/CR86*100)</f>
        <v>0</v>
      </c>
      <c r="CU86" s="2074"/>
      <c r="CV86" s="2074"/>
      <c r="CW86" s="363">
        <f>IF(CU86=0,0,(CV86-CU86)/CU86*100)</f>
        <v>0</v>
      </c>
      <c r="CX86" s="2074"/>
      <c r="CY86" s="2074"/>
      <c r="CZ86" s="363">
        <f>IF(CX86=0,0,(CY86-CX86)/CX86*100)</f>
        <v>0</v>
      </c>
      <c r="DA86" s="2074"/>
      <c r="DB86" s="2074"/>
      <c r="DC86" s="363">
        <f>IF(DA86=0,0,(DB86-DA86)/DA86*100)</f>
        <v>0</v>
      </c>
      <c r="DD86" s="2074"/>
      <c r="DE86" s="2074"/>
      <c r="DF86" s="363">
        <f>IF(DD86=0,0,(DE86-DD86)/DD86*100)</f>
        <v>0</v>
      </c>
      <c r="DG86" s="2074"/>
      <c r="DH86" s="2074"/>
      <c r="DI86" s="363">
        <f>IF(DG86=0,0,(DH86-DG86)/DG86*100)</f>
        <v>0</v>
      </c>
      <c r="DJ86" s="2074"/>
      <c r="DK86" s="2074"/>
      <c r="DL86" s="363">
        <f>IF(DJ86=0,0,(DK86-DJ86)/DJ86*100)</f>
        <v>0</v>
      </c>
      <c r="DM86" s="2074"/>
      <c r="DN86" s="2074"/>
      <c r="DO86" s="363">
        <f>IF(DM86=0,0,(DN86-DM86)/DM86*100)</f>
        <v>0</v>
      </c>
      <c r="DP86" s="2074"/>
      <c r="DQ86" s="2074"/>
      <c r="DR86" s="363">
        <f>IF(DP86=0,0,(DQ86-DP86)/DP86*100)</f>
        <v>0</v>
      </c>
      <c r="DS86" s="2074"/>
      <c r="DT86" s="2074"/>
      <c r="DU86" s="363">
        <f>IF(DS86=0,0,(DT86-DS86)/DS86*100)</f>
        <v>0</v>
      </c>
      <c r="DV86" s="2074"/>
      <c r="DW86" s="2074"/>
      <c r="DX86" s="363">
        <f>IF(DV86=0,0,(DW86-DV86)/DV86*100)</f>
        <v>0</v>
      </c>
      <c r="DY86" s="2074"/>
      <c r="DZ86" s="2074"/>
      <c r="EA86" s="363">
        <f>IF(DY86=0,0,(DZ86-DY86)/DY86*100)</f>
        <v>0</v>
      </c>
      <c r="EB86" s="2074"/>
      <c r="EC86" s="2074"/>
      <c r="ED86" s="363">
        <f>IF(EB86=0,0,(EC86-EB86)/EB86*100)</f>
        <v>0</v>
      </c>
      <c r="EE86" s="2074"/>
      <c r="EF86" s="2074"/>
      <c r="EG86" s="363">
        <f>IF(EE86=0,0,(EF86-EE86)/EE86*100)</f>
        <v>0</v>
      </c>
      <c r="EH86" s="2074"/>
      <c r="EI86" s="2074"/>
      <c r="EJ86" s="363">
        <f>IF(EH86=0,0,(EI86-EH86)/EH86*100)</f>
        <v>0</v>
      </c>
      <c r="EK86" s="2074"/>
      <c r="EL86" s="2074"/>
      <c r="EM86" s="363">
        <f>IF(EK86=0,0,(EL86-EK86)/EK86*100)</f>
        <v>0</v>
      </c>
      <c r="EN86" s="2074"/>
      <c r="EO86" s="2074"/>
      <c r="EP86" s="363">
        <f>IF(EN86=0,0,(EO86-EN86)/EN86*100)</f>
        <v>0</v>
      </c>
      <c r="EQ86" s="2074"/>
      <c r="ER86" s="2074"/>
      <c r="ES86" s="363">
        <f>IF(EQ86=0,0,(ER86-EQ86)/EQ86*100)</f>
        <v>0</v>
      </c>
      <c r="ET86" s="2074"/>
      <c r="EU86" s="2074"/>
      <c r="EV86" s="363">
        <f>IF(ET86=0,0,(EU86-ET86)/ET86*100)</f>
        <v>0</v>
      </c>
      <c r="EW86" s="2074"/>
      <c r="EX86" s="2074"/>
      <c r="EY86" s="363">
        <f>IF(EW86=0,0,(EX86-EW86)/EW86*100)</f>
        <v>0</v>
      </c>
      <c r="EZ86" s="2074"/>
      <c r="FA86" s="2074"/>
      <c r="FB86" s="363">
        <f>IF(EZ86=0,0,(FA86-EZ86)/EZ86*100)</f>
        <v>0</v>
      </c>
      <c r="FC86" s="2074"/>
      <c r="FD86" s="2074"/>
      <c r="FE86" s="363">
        <f>IF(FC86=0,0,(FD86-FC86)/FC86*100)</f>
        <v>0</v>
      </c>
      <c r="FF86" s="2074"/>
      <c r="FG86" s="2074"/>
      <c r="FH86" s="363">
        <f>IF(FF86=0,0,(FG86-FF86)/FF86*100)</f>
        <v>0</v>
      </c>
      <c r="FI86" s="2074"/>
      <c r="FJ86" s="2074"/>
      <c r="FK86" s="363">
        <f>IF(FI86=0,0,(FJ86-FI86)/FI86*100)</f>
        <v>0</v>
      </c>
      <c r="FL86" s="2074"/>
      <c r="FM86" s="2074"/>
      <c r="FN86" s="363">
        <f>IF(FL86=0,0,(FM86-FL86)/FL86*100)</f>
        <v>0</v>
      </c>
      <c r="FO86" s="2074"/>
      <c r="FP86" s="2074"/>
      <c r="FQ86" s="363">
        <f>IF(FO86=0,0,(FP86-FO86)/FO86*100)</f>
        <v>0</v>
      </c>
      <c r="FR86" s="2074"/>
      <c r="FS86" s="2074"/>
      <c r="FT86" s="363">
        <f>IF(FR86=0,0,(FS86-FR86)/FR86*100)</f>
        <v>0</v>
      </c>
      <c r="FU86" s="2074"/>
      <c r="FV86" s="2074"/>
      <c r="FW86" s="363">
        <f>IF(FU86=0,0,(FV86-FU86)/FU86*100)</f>
        <v>0</v>
      </c>
      <c r="FX86" s="360"/>
      <c r="FY86" s="360"/>
      <c r="FZ86" s="1182" t="s">
        <v>2086</v>
      </c>
      <c r="GA86" s="1217"/>
      <c r="GB86" s="1217"/>
      <c r="GC86" s="1217"/>
      <c r="GD86" s="1217"/>
    </row>
    <row s="1642" customFormat="1" customHeight="1" ht="16.5">
      <c r="A87" s="1437"/>
      <c r="B87" s="962" cm="1" t="str">
        <f t="array" ref="B87:B87">B86</f>
        <v>true</v>
      </c>
      <c r="C87" s="1323" t="s">
        <v>1707</v>
      </c>
      <c r="D87" s="1292" t="s">
        <v>1708</v>
      </c>
      <c r="E87" s="794">
        <v>17.1</v>
      </c>
      <c r="F87" s="920" cm="1" t="str">
        <f t="array" ref="F87:F87">OFFSET(G87,-1,-1)</f>
        <v>1</v>
      </c>
      <c r="G87" s="497"/>
      <c r="H87" s="210" t="s">
        <v>491</v>
      </c>
      <c r="I87" s="210" t="s">
        <v>2087</v>
      </c>
      <c r="J87" s="1313" t="s">
        <v>2058</v>
      </c>
      <c r="K87" s="1313" cm="1" t="str">
        <f t="array" ref="K87:K87">OFFSET(J87,-1,1)</f>
        <v>ТЭ.73.28136693.0002</v>
      </c>
      <c r="L87" s="1313" t="s">
        <v>2068</v>
      </c>
      <c r="M87" s="1313"/>
      <c r="N87" s="1313" t="s">
        <v>2080</v>
      </c>
      <c r="O87" s="1314" t="s">
        <v>2081</v>
      </c>
      <c r="P87" s="1313"/>
      <c r="Q87" s="1313"/>
      <c r="R87" s="926"/>
      <c r="S87" s="497"/>
      <c r="T87" s="805" cm="1" t="str">
        <f t="array" ref="T87:T87">T86</f>
        <v>true</v>
      </c>
      <c r="U87" s="1437"/>
      <c r="V87" s="1437"/>
      <c r="W87" s="1437"/>
      <c r="X87" s="1437"/>
      <c r="Y87" s="1437"/>
      <c r="Z87" s="1437"/>
      <c r="AA87" s="497"/>
      <c r="AB87" s="1058" t="s">
        <v>2069</v>
      </c>
      <c r="AC87" s="169" t="s">
        <v>485</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2088</v>
      </c>
      <c r="GA87" s="1217"/>
      <c r="GB87" s="1217"/>
      <c r="GC87" s="1217"/>
      <c r="GD87" s="1217"/>
    </row>
    <row s="1642" customFormat="1" customHeight="1" ht="16.5">
      <c r="A88" s="1437"/>
      <c r="B88" s="962" cm="1" t="str">
        <f t="array" ref="B88:B88">B87</f>
        <v>true</v>
      </c>
      <c r="C88" s="1323" t="s">
        <v>1689</v>
      </c>
      <c r="D88" s="1292" t="s">
        <v>1690</v>
      </c>
      <c r="E88" s="794">
        <v>17.1</v>
      </c>
      <c r="F88" s="920" cm="1" t="str">
        <f t="array" ref="F88:F88">OFFSET(G88,-1,-1)</f>
        <v>1</v>
      </c>
      <c r="G88" s="190" t="s">
        <v>2089</v>
      </c>
      <c r="H88" s="210" t="s">
        <v>498</v>
      </c>
      <c r="I88" s="210" t="s">
        <v>2087</v>
      </c>
      <c r="J88" s="1313" t="s">
        <v>2058</v>
      </c>
      <c r="K88" s="1313" cm="1" t="str">
        <f t="array" ref="K88:K88">OFFSET(J88,-1,1)</f>
        <v>ТЭ.73.28136693.0002</v>
      </c>
      <c r="L88" s="1313" t="s">
        <v>2072</v>
      </c>
      <c r="M88" s="1313"/>
      <c r="N88" s="1313" t="s">
        <v>2080</v>
      </c>
      <c r="O88" s="1314" t="s">
        <v>2081</v>
      </c>
      <c r="P88" s="1313"/>
      <c r="Q88" s="1313"/>
      <c r="R88" s="926"/>
      <c r="S88" s="497"/>
      <c r="T88" s="805" cm="1" t="str">
        <f t="array" ref="T88:T88">T87</f>
        <v>true</v>
      </c>
      <c r="U88" s="1437"/>
      <c r="V88" s="1437"/>
      <c r="W88" s="1437"/>
      <c r="X88" s="1437"/>
      <c r="Y88" s="1437"/>
      <c r="Z88" s="1437"/>
      <c r="AA88" s="497"/>
      <c r="AB88" s="1058" t="s">
        <v>2090</v>
      </c>
      <c r="AC88" s="169" t="s">
        <v>586</v>
      </c>
      <c r="AD88" s="1860">
        <f>_xlfn.SUMIFS('Баланс Пр'!AI$27:AI$165,'Баланс Пр'!$F$27:$F$165,$F88,'Баланс Пр'!$AB$27:$AB$165,"9.1.2.3")</f>
        <v>0</v>
      </c>
      <c r="AE88" s="1860">
        <f>_xlfn.SUMIFS('Баланс Пр'!AS$27:AS$165,'Баланс Пр'!$F$27:$F$165,$F88,'Баланс Пр'!$AB$27:$AB$165,"9.1.2.3")</f>
        <v>0</v>
      </c>
      <c r="AF88" s="397">
        <f>IF(AD88=0,0,(AE88-AD88)/AD88*100)</f>
        <v>0</v>
      </c>
      <c r="AG88" s="1835">
        <f>_xlfn.SUMIFS('Баланс Пр'!AJ$27:AJ$165,'Баланс Пр'!$F$27:$F$165,$F88,'Баланс Пр'!$AB$27:$AB$165,"9.1.2.3")</f>
        <v>0</v>
      </c>
      <c r="AH88" s="1835">
        <f>_xlfn.SUMIFS('Баланс Пр'!AT$27:AT$165,'Баланс Пр'!$F$27:$F$165,$F88,'Баланс Пр'!$AB$27:$AB$165,"9.1.2.3")</f>
        <v>0</v>
      </c>
      <c r="AI88" s="397">
        <f>IF(AG88=0,0,(AH88-AG88)/AG88*100)</f>
        <v>0</v>
      </c>
      <c r="AJ88" s="1835">
        <f>_xlfn.SUMIFS('Баланс Пр'!AK$27:AK$165,'Баланс Пр'!$F$27:$F$165,$F88,'Баланс Пр'!$AB$27:$AB$165,"9.1.2.3")</f>
        <v>0</v>
      </c>
      <c r="AK88" s="1835">
        <f>_xlfn.SUMIFS('Баланс Пр'!AU$27:AU$165,'Баланс Пр'!$F$27:$F$165,$F88,'Баланс Пр'!$AB$27:$AB$165,"9.1.2.3")</f>
        <v>0</v>
      </c>
      <c r="AL88" s="397">
        <f>IF(AJ88=0,0,(AK88-AJ88)/AJ88*100)</f>
        <v>0</v>
      </c>
      <c r="AM88" s="1860">
        <f>_xlfn.SUMIFS('Баланс Пр'!AL$27:AL$165,'Баланс Пр'!$F$27:$F$165,$F88,'Баланс Пр'!$AB$27:$AB$165,"9.1.2.3")</f>
        <v>0</v>
      </c>
      <c r="AN88" s="1860">
        <f>_xlfn.SUMIFS('Баланс Пр'!AV$27:AV$165,'Баланс Пр'!$F$27:$F$165,$F88,'Баланс Пр'!$AB$27:$AB$165,"9.1.2.3")</f>
        <v>0</v>
      </c>
      <c r="AO88" s="397">
        <f>IF(AM88=0,0,(AN88-AM88)/AM88*100)</f>
        <v>0</v>
      </c>
      <c r="AP88" s="1860">
        <f>_xlfn.SUMIFS('Баланс Пр'!AM$27:AM$165,'Баланс Пр'!$F$27:$F$165,$F88,'Баланс Пр'!$AB$27:$AB$165,"9.1.2.3")</f>
        <v>0</v>
      </c>
      <c r="AQ88" s="1860">
        <f>_xlfn.SUMIFS('Баланс Пр'!AW$27:AW$165,'Баланс Пр'!$F$27:$F$165,$F88,'Баланс Пр'!$AB$27:$AB$165,"9.1.2.3")</f>
        <v>0</v>
      </c>
      <c r="AR88" s="397">
        <f>IF(AP88=0,0,(AQ88-AP88)/AP88*100)</f>
        <v>0</v>
      </c>
      <c r="AS88" s="1860">
        <f>_xlfn.SUMIFS('Баланс Пр'!AN$27:AN$165,'Баланс Пр'!$F$27:$F$165,$F88,'Баланс Пр'!$AB$27:$AB$165,"9.1.2.3")</f>
        <v>0</v>
      </c>
      <c r="AT88" s="1860">
        <f>_xlfn.SUMIFS('Баланс Пр'!AX$27:AX$165,'Баланс Пр'!$F$27:$F$165,$F88,'Баланс Пр'!$AB$27:$AB$165,"9.1.2.3")</f>
        <v>0</v>
      </c>
      <c r="AU88" s="397">
        <f>IF(AS88=0,0,(AT88-AS88)/AS88*100)</f>
        <v>0</v>
      </c>
      <c r="AV88" s="1860">
        <f>_xlfn.SUMIFS('Баланс Пр'!AO$27:AO$165,'Баланс Пр'!$F$27:$F$165,$F88,'Баланс Пр'!$AB$27:$AB$165,"9.1.2.3")</f>
        <v>0</v>
      </c>
      <c r="AW88" s="1860">
        <f>_xlfn.SUMIFS('Баланс Пр'!AY$27:AY$165,'Баланс Пр'!$F$27:$F$165,$F88,'Баланс Пр'!$AB$27:$AB$165,"9.1.2.3")</f>
        <v>0</v>
      </c>
      <c r="AX88" s="397">
        <f>IF(AV88=0,0,(AW88-AV88)/AV88*100)</f>
        <v>0</v>
      </c>
      <c r="AY88" s="1860">
        <f>_xlfn.SUMIFS('Баланс Пр'!AP$27:AP$165,'Баланс Пр'!$F$27:$F$165,$F88,'Баланс Пр'!$AB$27:$AB$165,"9.1.2.3")</f>
        <v>0</v>
      </c>
      <c r="AZ88" s="1860">
        <f>_xlfn.SUMIFS('Баланс Пр'!AZ$27:AZ$165,'Баланс Пр'!$F$27:$F$165,$F88,'Баланс Пр'!$AB$27:$AB$165,"9.1.2.3")</f>
        <v>0</v>
      </c>
      <c r="BA88" s="397">
        <f>IF(AY88=0,0,(AZ88-AY88)/AY88*100)</f>
        <v>0</v>
      </c>
      <c r="BB88" s="1860">
        <f>_xlfn.SUMIFS('Баланс Пр'!AQ$27:AQ$165,'Баланс Пр'!$F$27:$F$165,$F88,'Баланс Пр'!$AB$27:$AB$165,"9.1.2.3")</f>
        <v>0</v>
      </c>
      <c r="BC88" s="1860">
        <f>_xlfn.SUMIFS('Баланс Пр'!BA$27:BA$165,'Баланс Пр'!$F$27:$F$165,$F88,'Баланс Пр'!$AB$27:$AB$165,"9.1.2.3")</f>
        <v>0</v>
      </c>
      <c r="BD88" s="397">
        <f>IF(BB88=0,0,(BC88-BB88)/BB88*100)</f>
        <v>0</v>
      </c>
      <c r="BE88" s="1860">
        <f>_xlfn.SUMIFS('Баланс Пр'!AR$27:AR$165,'Баланс Пр'!$F$27:$F$165,$F88,'Баланс Пр'!$AB$27:$AB$165,"9.1.2.3")</f>
        <v>0</v>
      </c>
      <c r="BF88" s="1860">
        <f>_xlfn.SUMIFS('Баланс Пр'!BB$27:BB$165,'Баланс Пр'!$F$27:$F$165,$F88,'Баланс Пр'!$AB$27:$AB$165,"9.1.2.3")</f>
        <v>0</v>
      </c>
      <c r="BG88" s="397">
        <f>IF(BE88=0,0,(BF88-BE88)/BE88*100)</f>
        <v>0</v>
      </c>
      <c r="BH88" s="2076">
        <f>SUM(BH89:BH90)</f>
        <v>0</v>
      </c>
      <c r="BI88" s="2076">
        <f>SUM(BI89:BI90)</f>
        <v>0</v>
      </c>
      <c r="BJ88" s="397">
        <f>IF(BH88=0,0,(BI88-BH88)/BH88*100)</f>
        <v>0</v>
      </c>
      <c r="BK88" s="2076">
        <f>SUM(BK89:BK90)</f>
        <v>0</v>
      </c>
      <c r="BL88" s="2076">
        <f>SUM(BL89:BL90)</f>
        <v>0</v>
      </c>
      <c r="BM88" s="397">
        <f>IF(BK88=0,0,(BL88-BK88)/BK88*100)</f>
        <v>0</v>
      </c>
      <c r="BN88" s="2076">
        <f>SUM(BN89:BN90)</f>
        <v>0</v>
      </c>
      <c r="BO88" s="2076">
        <f>SUM(BO89:BO90)</f>
        <v>0</v>
      </c>
      <c r="BP88" s="397">
        <f>IF(BN88=0,0,(BO88-BN88)/BN88*100)</f>
        <v>0</v>
      </c>
      <c r="BQ88" s="2076">
        <f>SUM(BQ89:BQ90)</f>
        <v>0</v>
      </c>
      <c r="BR88" s="2076">
        <f>SUM(BR89:BR90)</f>
        <v>0</v>
      </c>
      <c r="BS88" s="397">
        <f>IF(BQ88=0,0,(BR88-BQ88)/BQ88*100)</f>
        <v>0</v>
      </c>
      <c r="BT88" s="2076">
        <f>SUM(BT89:BT90)</f>
        <v>0</v>
      </c>
      <c r="BU88" s="2076">
        <f>SUM(BU89:BU90)</f>
        <v>0</v>
      </c>
      <c r="BV88" s="397">
        <f>IF(BT88=0,0,(BU88-BT88)/BT88*100)</f>
        <v>0</v>
      </c>
      <c r="BW88" s="2076">
        <f>SUM(BW89:BW90)</f>
        <v>0</v>
      </c>
      <c r="BX88" s="2076">
        <f>SUM(BX89:BX90)</f>
        <v>0</v>
      </c>
      <c r="BY88" s="397">
        <f>IF(BW88=0,0,(BX88-BW88)/BW88*100)</f>
        <v>0</v>
      </c>
      <c r="BZ88" s="2076">
        <f>SUM(BZ89:BZ90)</f>
        <v>0</v>
      </c>
      <c r="CA88" s="2076">
        <f>SUM(CA89:CA90)</f>
        <v>0</v>
      </c>
      <c r="CB88" s="397">
        <f>IF(BZ88=0,0,(CA88-BZ88)/BZ88*100)</f>
        <v>0</v>
      </c>
      <c r="CC88" s="2076">
        <f>SUM(CC89:CC90)</f>
        <v>0</v>
      </c>
      <c r="CD88" s="2076">
        <f>SUM(CD89:CD90)</f>
        <v>0</v>
      </c>
      <c r="CE88" s="397">
        <f>IF(CC88=0,0,(CD88-CC88)/CC88*100)</f>
        <v>0</v>
      </c>
      <c r="CF88" s="2076">
        <f>SUM(CF89:CF90)</f>
        <v>0</v>
      </c>
      <c r="CG88" s="2076">
        <f>SUM(CG89:CG90)</f>
        <v>0</v>
      </c>
      <c r="CH88" s="397">
        <f>IF(CF88=0,0,(CG88-CF88)/CF88*100)</f>
        <v>0</v>
      </c>
      <c r="CI88" s="2076">
        <f>SUM(CI89:CI90)</f>
        <v>0</v>
      </c>
      <c r="CJ88" s="2076">
        <f>SUM(CJ89:CJ90)</f>
        <v>0</v>
      </c>
      <c r="CK88" s="397">
        <f>IF(CI88=0,0,(CJ88-CI88)/CI88*100)</f>
        <v>0</v>
      </c>
      <c r="CL88" s="2076">
        <f>SUM(CL89:CL90)</f>
        <v>0</v>
      </c>
      <c r="CM88" s="2076">
        <f>SUM(CM89:CM90)</f>
        <v>0</v>
      </c>
      <c r="CN88" s="397">
        <f>IF(CL88=0,0,(CM88-CL88)/CL88*100)</f>
        <v>0</v>
      </c>
      <c r="CO88" s="2076">
        <f>SUM(CO89:CO90)</f>
        <v>0</v>
      </c>
      <c r="CP88" s="2076">
        <f>SUM(CP89:CP90)</f>
        <v>0</v>
      </c>
      <c r="CQ88" s="397">
        <f>IF(CO88=0,0,(CP88-CO88)/CO88*100)</f>
        <v>0</v>
      </c>
      <c r="CR88" s="2076">
        <f>SUM(CR89:CR90)</f>
        <v>0</v>
      </c>
      <c r="CS88" s="2076">
        <f>SUM(CS89:CS90)</f>
        <v>0</v>
      </c>
      <c r="CT88" s="397">
        <f>IF(CR88=0,0,(CS88-CR88)/CR88*100)</f>
        <v>0</v>
      </c>
      <c r="CU88" s="2076">
        <f>SUM(CU89:CU90)</f>
        <v>0</v>
      </c>
      <c r="CV88" s="2076">
        <f>SUM(CV89:CV90)</f>
        <v>0</v>
      </c>
      <c r="CW88" s="397">
        <f>IF(CU88=0,0,(CV88-CU88)/CU88*100)</f>
        <v>0</v>
      </c>
      <c r="CX88" s="2076">
        <f>SUM(CX89:CX90)</f>
        <v>0</v>
      </c>
      <c r="CY88" s="2076">
        <f>SUM(CY89:CY90)</f>
        <v>0</v>
      </c>
      <c r="CZ88" s="397">
        <f>IF(CX88=0,0,(CY88-CX88)/CX88*100)</f>
        <v>0</v>
      </c>
      <c r="DA88" s="2076">
        <f>SUM(DA89:DA90)</f>
        <v>0</v>
      </c>
      <c r="DB88" s="2076">
        <f>SUM(DB89:DB90)</f>
        <v>0</v>
      </c>
      <c r="DC88" s="397">
        <f>IF(DA88=0,0,(DB88-DA88)/DA88*100)</f>
        <v>0</v>
      </c>
      <c r="DD88" s="2076">
        <f>SUM(DD89:DD90)</f>
        <v>0</v>
      </c>
      <c r="DE88" s="2076">
        <f>SUM(DE89:DE90)</f>
        <v>0</v>
      </c>
      <c r="DF88" s="397">
        <f>IF(DD88=0,0,(DE88-DD88)/DD88*100)</f>
        <v>0</v>
      </c>
      <c r="DG88" s="2076">
        <f>SUM(DG89:DG90)</f>
        <v>0</v>
      </c>
      <c r="DH88" s="2076">
        <f>SUM(DH89:DH90)</f>
        <v>0</v>
      </c>
      <c r="DI88" s="397">
        <f>IF(DG88=0,0,(DH88-DG88)/DG88*100)</f>
        <v>0</v>
      </c>
      <c r="DJ88" s="2076">
        <f>SUM(DJ89:DJ90)</f>
        <v>0</v>
      </c>
      <c r="DK88" s="2076">
        <f>SUM(DK89:DK90)</f>
        <v>0</v>
      </c>
      <c r="DL88" s="397">
        <f>IF(DJ88=0,0,(DK88-DJ88)/DJ88*100)</f>
        <v>0</v>
      </c>
      <c r="DM88" s="2076">
        <f>SUM(DM89:DM90)</f>
        <v>0</v>
      </c>
      <c r="DN88" s="2076">
        <f>SUM(DN89:DN90)</f>
        <v>0</v>
      </c>
      <c r="DO88" s="397">
        <f>IF(DM88=0,0,(DN88-DM88)/DM88*100)</f>
        <v>0</v>
      </c>
      <c r="DP88" s="2076">
        <f>SUM(DP89:DP90)</f>
        <v>0</v>
      </c>
      <c r="DQ88" s="2076">
        <f>SUM(DQ89:DQ90)</f>
        <v>0</v>
      </c>
      <c r="DR88" s="397">
        <f>IF(DP88=0,0,(DQ88-DP88)/DP88*100)</f>
        <v>0</v>
      </c>
      <c r="DS88" s="2076">
        <f>SUM(DS89:DS90)</f>
        <v>0</v>
      </c>
      <c r="DT88" s="2076">
        <f>SUM(DT89:DT90)</f>
        <v>0</v>
      </c>
      <c r="DU88" s="397">
        <f>IF(DS88=0,0,(DT88-DS88)/DS88*100)</f>
        <v>0</v>
      </c>
      <c r="DV88" s="2076">
        <f>SUM(DV89:DV90)</f>
        <v>0</v>
      </c>
      <c r="DW88" s="2076">
        <f>SUM(DW89:DW90)</f>
        <v>0</v>
      </c>
      <c r="DX88" s="397">
        <f>IF(DV88=0,0,(DW88-DV88)/DV88*100)</f>
        <v>0</v>
      </c>
      <c r="DY88" s="2076">
        <f>SUM(DY89:DY90)</f>
        <v>0</v>
      </c>
      <c r="DZ88" s="2076">
        <f>SUM(DZ89:DZ90)</f>
        <v>0</v>
      </c>
      <c r="EA88" s="397">
        <f>IF(DY88=0,0,(DZ88-DY88)/DY88*100)</f>
        <v>0</v>
      </c>
      <c r="EB88" s="2076">
        <f>SUM(EB89:EB90)</f>
        <v>0</v>
      </c>
      <c r="EC88" s="2076">
        <f>SUM(EC89:EC90)</f>
        <v>0</v>
      </c>
      <c r="ED88" s="397">
        <f>IF(EB88=0,0,(EC88-EB88)/EB88*100)</f>
        <v>0</v>
      </c>
      <c r="EE88" s="2076">
        <f>SUM(EE89:EE90)</f>
        <v>0</v>
      </c>
      <c r="EF88" s="2076">
        <f>SUM(EF89:EF90)</f>
        <v>0</v>
      </c>
      <c r="EG88" s="397">
        <f>IF(EE88=0,0,(EF88-EE88)/EE88*100)</f>
        <v>0</v>
      </c>
      <c r="EH88" s="2076">
        <f>SUM(EH89:EH90)</f>
        <v>0</v>
      </c>
      <c r="EI88" s="2076">
        <f>SUM(EI89:EI90)</f>
        <v>0</v>
      </c>
      <c r="EJ88" s="397">
        <f>IF(EH88=0,0,(EI88-EH88)/EH88*100)</f>
        <v>0</v>
      </c>
      <c r="EK88" s="2076">
        <f>SUM(EK89:EK90)</f>
        <v>0</v>
      </c>
      <c r="EL88" s="2076">
        <f>SUM(EL89:EL90)</f>
        <v>0</v>
      </c>
      <c r="EM88" s="397">
        <f>IF(EK88=0,0,(EL88-EK88)/EK88*100)</f>
        <v>0</v>
      </c>
      <c r="EN88" s="2076">
        <f>SUM(EN89:EN90)</f>
        <v>0</v>
      </c>
      <c r="EO88" s="2076">
        <f>SUM(EO89:EO90)</f>
        <v>0</v>
      </c>
      <c r="EP88" s="397">
        <f>IF(EN88=0,0,(EO88-EN88)/EN88*100)</f>
        <v>0</v>
      </c>
      <c r="EQ88" s="2076">
        <f>SUM(EQ89:EQ90)</f>
        <v>0</v>
      </c>
      <c r="ER88" s="2076">
        <f>SUM(ER89:ER90)</f>
        <v>0</v>
      </c>
      <c r="ES88" s="397">
        <f>IF(EQ88=0,0,(ER88-EQ88)/EQ88*100)</f>
        <v>0</v>
      </c>
      <c r="ET88" s="2076">
        <f>SUM(ET89:ET90)</f>
        <v>0</v>
      </c>
      <c r="EU88" s="2076">
        <f>SUM(EU89:EU90)</f>
        <v>0</v>
      </c>
      <c r="EV88" s="397">
        <f>IF(ET88=0,0,(EU88-ET88)/ET88*100)</f>
        <v>0</v>
      </c>
      <c r="EW88" s="2076">
        <f>SUM(EW89:EW90)</f>
        <v>0</v>
      </c>
      <c r="EX88" s="2076">
        <f>SUM(EX89:EX90)</f>
        <v>0</v>
      </c>
      <c r="EY88" s="397">
        <f>IF(EW88=0,0,(EX88-EW88)/EW88*100)</f>
        <v>0</v>
      </c>
      <c r="EZ88" s="2076">
        <f>SUM(EZ89:EZ90)</f>
        <v>0</v>
      </c>
      <c r="FA88" s="2076">
        <f>SUM(FA89:FA90)</f>
        <v>0</v>
      </c>
      <c r="FB88" s="397">
        <f>IF(EZ88=0,0,(FA88-EZ88)/EZ88*100)</f>
        <v>0</v>
      </c>
      <c r="FC88" s="2076">
        <f>SUM(FC89:FC90)</f>
        <v>0</v>
      </c>
      <c r="FD88" s="2076">
        <f>SUM(FD89:FD90)</f>
        <v>0</v>
      </c>
      <c r="FE88" s="397">
        <f>IF(FC88=0,0,(FD88-FC88)/FC88*100)</f>
        <v>0</v>
      </c>
      <c r="FF88" s="2076">
        <f>SUM(FF89:FF90)</f>
        <v>0</v>
      </c>
      <c r="FG88" s="2076">
        <f>SUM(FG89:FG90)</f>
        <v>0</v>
      </c>
      <c r="FH88" s="397">
        <f>IF(FF88=0,0,(FG88-FF88)/FF88*100)</f>
        <v>0</v>
      </c>
      <c r="FI88" s="2076">
        <f>SUM(FI89:FI90)</f>
        <v>0</v>
      </c>
      <c r="FJ88" s="2076">
        <f>SUM(FJ89:FJ90)</f>
        <v>0</v>
      </c>
      <c r="FK88" s="397">
        <f>IF(FI88=0,0,(FJ88-FI88)/FI88*100)</f>
        <v>0</v>
      </c>
      <c r="FL88" s="2076">
        <f>SUM(FL89:FL90)</f>
        <v>0</v>
      </c>
      <c r="FM88" s="2076">
        <f>SUM(FM89:FM90)</f>
        <v>0</v>
      </c>
      <c r="FN88" s="397">
        <f>IF(FL88=0,0,(FM88-FL88)/FL88*100)</f>
        <v>0</v>
      </c>
      <c r="FO88" s="2076">
        <f>SUM(FO89:FO90)</f>
        <v>0</v>
      </c>
      <c r="FP88" s="2076">
        <f>SUM(FP89:FP90)</f>
        <v>0</v>
      </c>
      <c r="FQ88" s="397">
        <f>IF(FO88=0,0,(FP88-FO88)/FO88*100)</f>
        <v>0</v>
      </c>
      <c r="FR88" s="2076">
        <f>SUM(FR89:FR90)</f>
        <v>0</v>
      </c>
      <c r="FS88" s="2076">
        <f>SUM(FS89:FS90)</f>
        <v>0</v>
      </c>
      <c r="FT88" s="397">
        <f>IF(FR88=0,0,(FS88-FR88)/FR88*100)</f>
        <v>0</v>
      </c>
      <c r="FU88" s="2076">
        <f>SUM(FU89:FU90)</f>
        <v>0</v>
      </c>
      <c r="FV88" s="2076">
        <f>SUM(FV89:FV90)</f>
        <v>0</v>
      </c>
      <c r="FW88" s="397">
        <f>IF(FU88=0,0,(FV88-FU88)/FU88*100)</f>
        <v>0</v>
      </c>
      <c r="FX88" s="497"/>
      <c r="FY88" s="497"/>
      <c r="FZ88" s="1182" t="s">
        <v>2091</v>
      </c>
      <c r="GA88" s="1217"/>
      <c r="GB88" s="1217"/>
      <c r="GC88" s="1217"/>
      <c r="GD88" s="1217"/>
    </row>
    <row s="1642" customFormat="1" customHeight="1" ht="16.5">
      <c r="A89" s="1437"/>
      <c r="B89" s="962" cm="1" t="str">
        <f t="array" ref="B89:B89">B88</f>
        <v>true</v>
      </c>
      <c r="C89" s="1323" t="s">
        <v>1689</v>
      </c>
      <c r="D89" s="1292" t="s">
        <v>1690</v>
      </c>
      <c r="E89" s="794">
        <v>17.1</v>
      </c>
      <c r="F89" s="920" cm="1" t="str">
        <f t="array" ref="F89:F89">OFFSET(G89,-1,-1)</f>
        <v>1</v>
      </c>
      <c r="G89" s="497"/>
      <c r="H89" s="497"/>
      <c r="I89" s="497"/>
      <c r="J89" s="1313" t="s">
        <v>2058</v>
      </c>
      <c r="K89" s="1313" cm="1" t="str">
        <f t="array" ref="K89:K89">OFFSET(J89,-1,1)</f>
        <v>ТЭ.73.28136693.0002</v>
      </c>
      <c r="L89" s="1313" t="s">
        <v>2072</v>
      </c>
      <c r="M89" s="1313" t="s">
        <v>1692</v>
      </c>
      <c r="N89" s="1313" t="s">
        <v>2080</v>
      </c>
      <c r="O89" s="1314" t="s">
        <v>2081</v>
      </c>
      <c r="P89" s="1313"/>
      <c r="Q89" s="1313"/>
      <c r="R89" s="926"/>
      <c r="S89" s="497"/>
      <c r="T89" s="805" cm="1" t="str">
        <f t="array" ref="T89:T89">T88</f>
        <v>true</v>
      </c>
      <c r="U89" s="1437"/>
      <c r="V89" s="1437"/>
      <c r="W89" s="1437"/>
      <c r="X89" s="1437"/>
      <c r="Y89" s="1437"/>
      <c r="Z89" s="1437"/>
      <c r="AA89" s="497"/>
      <c r="AB89" s="273" t="s">
        <v>2092</v>
      </c>
      <c r="AC89" s="675" t="s">
        <v>586</v>
      </c>
      <c r="AD89" s="1947"/>
      <c r="AE89" s="1947"/>
      <c r="AF89" s="690">
        <f>IF(AD89=0,0,(AE89-AD89)/AD89*100)</f>
        <v>0</v>
      </c>
      <c r="AG89" s="2065"/>
      <c r="AH89" s="2065"/>
      <c r="AI89" s="690">
        <f>IF(AG89=0,0,(AH89-AG89)/AG89*100)</f>
        <v>0</v>
      </c>
      <c r="AJ89" s="2065"/>
      <c r="AK89" s="2065"/>
      <c r="AL89" s="690">
        <f>IF(AJ89=0,0,(AK89-AJ89)/AJ89*100)</f>
        <v>0</v>
      </c>
      <c r="AM89" s="1947"/>
      <c r="AN89" s="1947"/>
      <c r="AO89" s="690">
        <f>IF(AM89=0,0,(AN89-AM89)/AM89*100)</f>
        <v>0</v>
      </c>
      <c r="AP89" s="1947"/>
      <c r="AQ89" s="1947"/>
      <c r="AR89" s="690">
        <f>IF(AP89=0,0,(AQ89-AP89)/AP89*100)</f>
        <v>0</v>
      </c>
      <c r="AS89" s="1947"/>
      <c r="AT89" s="1947"/>
      <c r="AU89" s="690">
        <f>IF(AS89=0,0,(AT89-AS89)/AS89*100)</f>
        <v>0</v>
      </c>
      <c r="AV89" s="1947"/>
      <c r="AW89" s="1947"/>
      <c r="AX89" s="690">
        <f>IF(AV89=0,0,(AW89-AV89)/AV89*100)</f>
        <v>0</v>
      </c>
      <c r="AY89" s="1947"/>
      <c r="AZ89" s="1947"/>
      <c r="BA89" s="690">
        <f>IF(AY89=0,0,(AZ89-AY89)/AY89*100)</f>
        <v>0</v>
      </c>
      <c r="BB89" s="1947"/>
      <c r="BC89" s="1947"/>
      <c r="BD89" s="690">
        <f>IF(BB89=0,0,(BC89-BB89)/BB89*100)</f>
        <v>0</v>
      </c>
      <c r="BE89" s="1947"/>
      <c r="BF89" s="1947"/>
      <c r="BG89" s="690">
        <f>IF(BE89=0,0,(BF89-BE89)/BE89*100)</f>
        <v>0</v>
      </c>
      <c r="BH89" s="1947"/>
      <c r="BI89" s="1947"/>
      <c r="BJ89" s="690">
        <f>IF(BH89=0,0,(BI89-BH89)/BH89*100)</f>
        <v>0</v>
      </c>
      <c r="BK89" s="1947"/>
      <c r="BL89" s="1947"/>
      <c r="BM89" s="690">
        <f>IF(BK89=0,0,(BL89-BK89)/BK89*100)</f>
        <v>0</v>
      </c>
      <c r="BN89" s="1947"/>
      <c r="BO89" s="1947"/>
      <c r="BP89" s="690">
        <f>IF(BN89=0,0,(BO89-BN89)/BN89*100)</f>
        <v>0</v>
      </c>
      <c r="BQ89" s="1947"/>
      <c r="BR89" s="1947"/>
      <c r="BS89" s="690">
        <f>IF(BQ89=0,0,(BR89-BQ89)/BQ89*100)</f>
        <v>0</v>
      </c>
      <c r="BT89" s="1947"/>
      <c r="BU89" s="1947"/>
      <c r="BV89" s="690">
        <f>IF(BT89=0,0,(BU89-BT89)/BT89*100)</f>
        <v>0</v>
      </c>
      <c r="BW89" s="1947"/>
      <c r="BX89" s="1947"/>
      <c r="BY89" s="690">
        <f>IF(BW89=0,0,(BX89-BW89)/BW89*100)</f>
        <v>0</v>
      </c>
      <c r="BZ89" s="1947"/>
      <c r="CA89" s="1947"/>
      <c r="CB89" s="690">
        <f>IF(BZ89=0,0,(CA89-BZ89)/BZ89*100)</f>
        <v>0</v>
      </c>
      <c r="CC89" s="1947"/>
      <c r="CD89" s="1947"/>
      <c r="CE89" s="690">
        <f>IF(CC89=0,0,(CD89-CC89)/CC89*100)</f>
        <v>0</v>
      </c>
      <c r="CF89" s="1947"/>
      <c r="CG89" s="1947"/>
      <c r="CH89" s="690">
        <f>IF(CF89=0,0,(CG89-CF89)/CF89*100)</f>
        <v>0</v>
      </c>
      <c r="CI89" s="1947"/>
      <c r="CJ89" s="1947"/>
      <c r="CK89" s="690">
        <f>IF(CI89=0,0,(CJ89-CI89)/CI89*100)</f>
        <v>0</v>
      </c>
      <c r="CL89" s="1947"/>
      <c r="CM89" s="1947"/>
      <c r="CN89" s="690">
        <f>IF(CL89=0,0,(CM89-CL89)/CL89*100)</f>
        <v>0</v>
      </c>
      <c r="CO89" s="1947"/>
      <c r="CP89" s="1947"/>
      <c r="CQ89" s="690">
        <f>IF(CO89=0,0,(CP89-CO89)/CO89*100)</f>
        <v>0</v>
      </c>
      <c r="CR89" s="1947"/>
      <c r="CS89" s="1947"/>
      <c r="CT89" s="690">
        <f>IF(CR89=0,0,(CS89-CR89)/CR89*100)</f>
        <v>0</v>
      </c>
      <c r="CU89" s="1947"/>
      <c r="CV89" s="1947"/>
      <c r="CW89" s="690">
        <f>IF(CU89=0,0,(CV89-CU89)/CU89*100)</f>
        <v>0</v>
      </c>
      <c r="CX89" s="1947"/>
      <c r="CY89" s="1947"/>
      <c r="CZ89" s="690">
        <f>IF(CX89=0,0,(CY89-CX89)/CX89*100)</f>
        <v>0</v>
      </c>
      <c r="DA89" s="1947"/>
      <c r="DB89" s="1947"/>
      <c r="DC89" s="690">
        <f>IF(DA89=0,0,(DB89-DA89)/DA89*100)</f>
        <v>0</v>
      </c>
      <c r="DD89" s="1947"/>
      <c r="DE89" s="1947"/>
      <c r="DF89" s="690">
        <f>IF(DD89=0,0,(DE89-DD89)/DD89*100)</f>
        <v>0</v>
      </c>
      <c r="DG89" s="1947"/>
      <c r="DH89" s="1947"/>
      <c r="DI89" s="690">
        <f>IF(DG89=0,0,(DH89-DG89)/DG89*100)</f>
        <v>0</v>
      </c>
      <c r="DJ89" s="1947"/>
      <c r="DK89" s="1947"/>
      <c r="DL89" s="690">
        <f>IF(DJ89=0,0,(DK89-DJ89)/DJ89*100)</f>
        <v>0</v>
      </c>
      <c r="DM89" s="1947"/>
      <c r="DN89" s="1947"/>
      <c r="DO89" s="690">
        <f>IF(DM89=0,0,(DN89-DM89)/DM89*100)</f>
        <v>0</v>
      </c>
      <c r="DP89" s="1947"/>
      <c r="DQ89" s="1947"/>
      <c r="DR89" s="690">
        <f>IF(DP89=0,0,(DQ89-DP89)/DP89*100)</f>
        <v>0</v>
      </c>
      <c r="DS89" s="1947"/>
      <c r="DT89" s="1947"/>
      <c r="DU89" s="690">
        <f>IF(DS89=0,0,(DT89-DS89)/DS89*100)</f>
        <v>0</v>
      </c>
      <c r="DV89" s="1947"/>
      <c r="DW89" s="1947"/>
      <c r="DX89" s="690">
        <f>IF(DV89=0,0,(DW89-DV89)/DV89*100)</f>
        <v>0</v>
      </c>
      <c r="DY89" s="1947"/>
      <c r="DZ89" s="1947"/>
      <c r="EA89" s="690">
        <f>IF(DY89=0,0,(DZ89-DY89)/DY89*100)</f>
        <v>0</v>
      </c>
      <c r="EB89" s="1947"/>
      <c r="EC89" s="1947"/>
      <c r="ED89" s="690">
        <f>IF(EB89=0,0,(EC89-EB89)/EB89*100)</f>
        <v>0</v>
      </c>
      <c r="EE89" s="1947"/>
      <c r="EF89" s="1947"/>
      <c r="EG89" s="690">
        <f>IF(EE89=0,0,(EF89-EE89)/EE89*100)</f>
        <v>0</v>
      </c>
      <c r="EH89" s="1947"/>
      <c r="EI89" s="1947"/>
      <c r="EJ89" s="690">
        <f>IF(EH89=0,0,(EI89-EH89)/EH89*100)</f>
        <v>0</v>
      </c>
      <c r="EK89" s="1947"/>
      <c r="EL89" s="1947"/>
      <c r="EM89" s="690">
        <f>IF(EK89=0,0,(EL89-EK89)/EK89*100)</f>
        <v>0</v>
      </c>
      <c r="EN89" s="1947"/>
      <c r="EO89" s="1947"/>
      <c r="EP89" s="690">
        <f>IF(EN89=0,0,(EO89-EN89)/EN89*100)</f>
        <v>0</v>
      </c>
      <c r="EQ89" s="1947"/>
      <c r="ER89" s="1947"/>
      <c r="ES89" s="690">
        <f>IF(EQ89=0,0,(ER89-EQ89)/EQ89*100)</f>
        <v>0</v>
      </c>
      <c r="ET89" s="1947"/>
      <c r="EU89" s="1947"/>
      <c r="EV89" s="690">
        <f>IF(ET89=0,0,(EU89-ET89)/ET89*100)</f>
        <v>0</v>
      </c>
      <c r="EW89" s="1947"/>
      <c r="EX89" s="1947"/>
      <c r="EY89" s="690">
        <f>IF(EW89=0,0,(EX89-EW89)/EW89*100)</f>
        <v>0</v>
      </c>
      <c r="EZ89" s="1947"/>
      <c r="FA89" s="1947"/>
      <c r="FB89" s="690">
        <f>IF(EZ89=0,0,(FA89-EZ89)/EZ89*100)</f>
        <v>0</v>
      </c>
      <c r="FC89" s="1947"/>
      <c r="FD89" s="1947"/>
      <c r="FE89" s="690">
        <f>IF(FC89=0,0,(FD89-FC89)/FC89*100)</f>
        <v>0</v>
      </c>
      <c r="FF89" s="1947"/>
      <c r="FG89" s="1947"/>
      <c r="FH89" s="690">
        <f>IF(FF89=0,0,(FG89-FF89)/FF89*100)</f>
        <v>0</v>
      </c>
      <c r="FI89" s="1947"/>
      <c r="FJ89" s="1947"/>
      <c r="FK89" s="690">
        <f>IF(FI89=0,0,(FJ89-FI89)/FI89*100)</f>
        <v>0</v>
      </c>
      <c r="FL89" s="1947"/>
      <c r="FM89" s="1947"/>
      <c r="FN89" s="690">
        <f>IF(FL89=0,0,(FM89-FL89)/FL89*100)</f>
        <v>0</v>
      </c>
      <c r="FO89" s="1947"/>
      <c r="FP89" s="1947"/>
      <c r="FQ89" s="690">
        <f>IF(FO89=0,0,(FP89-FO89)/FO89*100)</f>
        <v>0</v>
      </c>
      <c r="FR89" s="1947"/>
      <c r="FS89" s="1947"/>
      <c r="FT89" s="690">
        <f>IF(FR89=0,0,(FS89-FR89)/FR89*100)</f>
        <v>0</v>
      </c>
      <c r="FU89" s="1947"/>
      <c r="FV89" s="1947"/>
      <c r="FW89" s="690">
        <f>IF(FU89=0,0,(FV89-FU89)/FU89*100)</f>
        <v>0</v>
      </c>
      <c r="FX89" s="497"/>
      <c r="FY89" s="497"/>
      <c r="FZ89" s="1182" t="s">
        <v>2093</v>
      </c>
      <c r="GA89" s="1217"/>
      <c r="GB89" s="1217"/>
      <c r="GC89" s="1217"/>
      <c r="GD89" s="1217"/>
    </row>
    <row s="1642" customFormat="1" customHeight="1" ht="16.5">
      <c r="A90" s="1437"/>
      <c r="B90" s="962" cm="1" t="str">
        <f t="array" ref="B90:B90">B89</f>
        <v>true</v>
      </c>
      <c r="C90" s="1323" t="s">
        <v>1689</v>
      </c>
      <c r="D90" s="1292" t="s">
        <v>1690</v>
      </c>
      <c r="E90" s="794">
        <v>17.1</v>
      </c>
      <c r="F90" s="920" cm="1" t="str">
        <f t="array" ref="F90:F90">OFFSET(G90,-1,-1)</f>
        <v>1</v>
      </c>
      <c r="G90" s="497"/>
      <c r="H90" s="497"/>
      <c r="I90" s="497"/>
      <c r="J90" s="1313" t="s">
        <v>2058</v>
      </c>
      <c r="K90" s="1313" cm="1" t="str">
        <f t="array" ref="K90:K90">OFFSET(J90,-1,1)</f>
        <v>ТЭ.73.28136693.0002</v>
      </c>
      <c r="L90" s="1313" t="s">
        <v>2072</v>
      </c>
      <c r="M90" s="1313" t="s">
        <v>1701</v>
      </c>
      <c r="N90" s="1313" t="s">
        <v>2080</v>
      </c>
      <c r="O90" s="1314" t="s">
        <v>2081</v>
      </c>
      <c r="P90" s="1313"/>
      <c r="Q90" s="1313"/>
      <c r="R90" s="926"/>
      <c r="S90" s="497"/>
      <c r="T90" s="805" cm="1" t="str">
        <f t="array" ref="T90:T90">T89</f>
        <v>true</v>
      </c>
      <c r="U90" s="1437"/>
      <c r="V90" s="1437"/>
      <c r="W90" s="1437"/>
      <c r="X90" s="1437"/>
      <c r="Y90" s="1437"/>
      <c r="Z90" s="1437"/>
      <c r="AA90" s="497"/>
      <c r="AB90" s="273" t="s">
        <v>2094</v>
      </c>
      <c r="AC90" s="675" t="s">
        <v>586</v>
      </c>
      <c r="AD90" s="1947"/>
      <c r="AE90" s="1947"/>
      <c r="AF90" s="690">
        <f>IF(AD90=0,0,(AE90-AD90)/AD90*100)</f>
        <v>0</v>
      </c>
      <c r="AG90" s="2065"/>
      <c r="AH90" s="2065"/>
      <c r="AI90" s="690">
        <f>IF(AG90=0,0,(AH90-AG90)/AG90*100)</f>
        <v>0</v>
      </c>
      <c r="AJ90" s="2065"/>
      <c r="AK90" s="2065"/>
      <c r="AL90" s="690">
        <f>IF(AJ90=0,0,(AK90-AJ90)/AJ90*100)</f>
        <v>0</v>
      </c>
      <c r="AM90" s="1947"/>
      <c r="AN90" s="1947"/>
      <c r="AO90" s="690">
        <f>IF(AM90=0,0,(AN90-AM90)/AM90*100)</f>
        <v>0</v>
      </c>
      <c r="AP90" s="1947"/>
      <c r="AQ90" s="1947"/>
      <c r="AR90" s="690">
        <f>IF(AP90=0,0,(AQ90-AP90)/AP90*100)</f>
        <v>0</v>
      </c>
      <c r="AS90" s="1947"/>
      <c r="AT90" s="1947"/>
      <c r="AU90" s="690">
        <f>IF(AS90=0,0,(AT90-AS90)/AS90*100)</f>
        <v>0</v>
      </c>
      <c r="AV90" s="1947"/>
      <c r="AW90" s="1947"/>
      <c r="AX90" s="690">
        <f>IF(AV90=0,0,(AW90-AV90)/AV90*100)</f>
        <v>0</v>
      </c>
      <c r="AY90" s="1947"/>
      <c r="AZ90" s="1947"/>
      <c r="BA90" s="690">
        <f>IF(AY90=0,0,(AZ90-AY90)/AY90*100)</f>
        <v>0</v>
      </c>
      <c r="BB90" s="1947"/>
      <c r="BC90" s="1947"/>
      <c r="BD90" s="690">
        <f>IF(BB90=0,0,(BC90-BB90)/BB90*100)</f>
        <v>0</v>
      </c>
      <c r="BE90" s="1947"/>
      <c r="BF90" s="1947"/>
      <c r="BG90" s="690">
        <f>IF(BE90=0,0,(BF90-BE90)/BE90*100)</f>
        <v>0</v>
      </c>
      <c r="BH90" s="1947"/>
      <c r="BI90" s="1947"/>
      <c r="BJ90" s="690">
        <f>IF(BH90=0,0,(BI90-BH90)/BH90*100)</f>
        <v>0</v>
      </c>
      <c r="BK90" s="1947"/>
      <c r="BL90" s="1947"/>
      <c r="BM90" s="690">
        <f>IF(BK90=0,0,(BL90-BK90)/BK90*100)</f>
        <v>0</v>
      </c>
      <c r="BN90" s="1947"/>
      <c r="BO90" s="1947"/>
      <c r="BP90" s="690">
        <f>IF(BN90=0,0,(BO90-BN90)/BN90*100)</f>
        <v>0</v>
      </c>
      <c r="BQ90" s="1947"/>
      <c r="BR90" s="1947"/>
      <c r="BS90" s="690">
        <f>IF(BQ90=0,0,(BR90-BQ90)/BQ90*100)</f>
        <v>0</v>
      </c>
      <c r="BT90" s="1947"/>
      <c r="BU90" s="1947"/>
      <c r="BV90" s="690">
        <f>IF(BT90=0,0,(BU90-BT90)/BT90*100)</f>
        <v>0</v>
      </c>
      <c r="BW90" s="1947"/>
      <c r="BX90" s="1947"/>
      <c r="BY90" s="690">
        <f>IF(BW90=0,0,(BX90-BW90)/BW90*100)</f>
        <v>0</v>
      </c>
      <c r="BZ90" s="1947"/>
      <c r="CA90" s="1947"/>
      <c r="CB90" s="690">
        <f>IF(BZ90=0,0,(CA90-BZ90)/BZ90*100)</f>
        <v>0</v>
      </c>
      <c r="CC90" s="1947"/>
      <c r="CD90" s="1947"/>
      <c r="CE90" s="690">
        <f>IF(CC90=0,0,(CD90-CC90)/CC90*100)</f>
        <v>0</v>
      </c>
      <c r="CF90" s="1947"/>
      <c r="CG90" s="1947"/>
      <c r="CH90" s="690">
        <f>IF(CF90=0,0,(CG90-CF90)/CF90*100)</f>
        <v>0</v>
      </c>
      <c r="CI90" s="1947"/>
      <c r="CJ90" s="1947"/>
      <c r="CK90" s="690">
        <f>IF(CI90=0,0,(CJ90-CI90)/CI90*100)</f>
        <v>0</v>
      </c>
      <c r="CL90" s="1947"/>
      <c r="CM90" s="1947"/>
      <c r="CN90" s="690">
        <f>IF(CL90=0,0,(CM90-CL90)/CL90*100)</f>
        <v>0</v>
      </c>
      <c r="CO90" s="1947"/>
      <c r="CP90" s="1947"/>
      <c r="CQ90" s="690">
        <f>IF(CO90=0,0,(CP90-CO90)/CO90*100)</f>
        <v>0</v>
      </c>
      <c r="CR90" s="1947"/>
      <c r="CS90" s="1947"/>
      <c r="CT90" s="690">
        <f>IF(CR90=0,0,(CS90-CR90)/CR90*100)</f>
        <v>0</v>
      </c>
      <c r="CU90" s="1947"/>
      <c r="CV90" s="1947"/>
      <c r="CW90" s="690">
        <f>IF(CU90=0,0,(CV90-CU90)/CU90*100)</f>
        <v>0</v>
      </c>
      <c r="CX90" s="1947"/>
      <c r="CY90" s="1947"/>
      <c r="CZ90" s="690">
        <f>IF(CX90=0,0,(CY90-CX90)/CX90*100)</f>
        <v>0</v>
      </c>
      <c r="DA90" s="1947"/>
      <c r="DB90" s="1947"/>
      <c r="DC90" s="690">
        <f>IF(DA90=0,0,(DB90-DA90)/DA90*100)</f>
        <v>0</v>
      </c>
      <c r="DD90" s="1947"/>
      <c r="DE90" s="1947"/>
      <c r="DF90" s="690">
        <f>IF(DD90=0,0,(DE90-DD90)/DD90*100)</f>
        <v>0</v>
      </c>
      <c r="DG90" s="1947"/>
      <c r="DH90" s="1947"/>
      <c r="DI90" s="690">
        <f>IF(DG90=0,0,(DH90-DG90)/DG90*100)</f>
        <v>0</v>
      </c>
      <c r="DJ90" s="1947"/>
      <c r="DK90" s="1947"/>
      <c r="DL90" s="690">
        <f>IF(DJ90=0,0,(DK90-DJ90)/DJ90*100)</f>
        <v>0</v>
      </c>
      <c r="DM90" s="1947"/>
      <c r="DN90" s="1947"/>
      <c r="DO90" s="690">
        <f>IF(DM90=0,0,(DN90-DM90)/DM90*100)</f>
        <v>0</v>
      </c>
      <c r="DP90" s="1947"/>
      <c r="DQ90" s="1947"/>
      <c r="DR90" s="690">
        <f>IF(DP90=0,0,(DQ90-DP90)/DP90*100)</f>
        <v>0</v>
      </c>
      <c r="DS90" s="1947"/>
      <c r="DT90" s="1947"/>
      <c r="DU90" s="690">
        <f>IF(DS90=0,0,(DT90-DS90)/DS90*100)</f>
        <v>0</v>
      </c>
      <c r="DV90" s="1947"/>
      <c r="DW90" s="1947"/>
      <c r="DX90" s="690">
        <f>IF(DV90=0,0,(DW90-DV90)/DV90*100)</f>
        <v>0</v>
      </c>
      <c r="DY90" s="1947"/>
      <c r="DZ90" s="1947"/>
      <c r="EA90" s="690">
        <f>IF(DY90=0,0,(DZ90-DY90)/DY90*100)</f>
        <v>0</v>
      </c>
      <c r="EB90" s="1947"/>
      <c r="EC90" s="1947"/>
      <c r="ED90" s="690">
        <f>IF(EB90=0,0,(EC90-EB90)/EB90*100)</f>
        <v>0</v>
      </c>
      <c r="EE90" s="1947"/>
      <c r="EF90" s="1947"/>
      <c r="EG90" s="690">
        <f>IF(EE90=0,0,(EF90-EE90)/EE90*100)</f>
        <v>0</v>
      </c>
      <c r="EH90" s="1947"/>
      <c r="EI90" s="1947"/>
      <c r="EJ90" s="690">
        <f>IF(EH90=0,0,(EI90-EH90)/EH90*100)</f>
        <v>0</v>
      </c>
      <c r="EK90" s="1947"/>
      <c r="EL90" s="1947"/>
      <c r="EM90" s="690">
        <f>IF(EK90=0,0,(EL90-EK90)/EK90*100)</f>
        <v>0</v>
      </c>
      <c r="EN90" s="1947"/>
      <c r="EO90" s="1947"/>
      <c r="EP90" s="690">
        <f>IF(EN90=0,0,(EO90-EN90)/EN90*100)</f>
        <v>0</v>
      </c>
      <c r="EQ90" s="1947"/>
      <c r="ER90" s="1947"/>
      <c r="ES90" s="690">
        <f>IF(EQ90=0,0,(ER90-EQ90)/EQ90*100)</f>
        <v>0</v>
      </c>
      <c r="ET90" s="1947"/>
      <c r="EU90" s="1947"/>
      <c r="EV90" s="690">
        <f>IF(ET90=0,0,(EU90-ET90)/ET90*100)</f>
        <v>0</v>
      </c>
      <c r="EW90" s="1947"/>
      <c r="EX90" s="1947"/>
      <c r="EY90" s="690">
        <f>IF(EW90=0,0,(EX90-EW90)/EW90*100)</f>
        <v>0</v>
      </c>
      <c r="EZ90" s="1947"/>
      <c r="FA90" s="1947"/>
      <c r="FB90" s="690">
        <f>IF(EZ90=0,0,(FA90-EZ90)/EZ90*100)</f>
        <v>0</v>
      </c>
      <c r="FC90" s="1947"/>
      <c r="FD90" s="1947"/>
      <c r="FE90" s="690">
        <f>IF(FC90=0,0,(FD90-FC90)/FC90*100)</f>
        <v>0</v>
      </c>
      <c r="FF90" s="1947"/>
      <c r="FG90" s="1947"/>
      <c r="FH90" s="690">
        <f>IF(FF90=0,0,(FG90-FF90)/FF90*100)</f>
        <v>0</v>
      </c>
      <c r="FI90" s="1947"/>
      <c r="FJ90" s="1947"/>
      <c r="FK90" s="690">
        <f>IF(FI90=0,0,(FJ90-FI90)/FI90*100)</f>
        <v>0</v>
      </c>
      <c r="FL90" s="1947"/>
      <c r="FM90" s="1947"/>
      <c r="FN90" s="690">
        <f>IF(FL90=0,0,(FM90-FL90)/FL90*100)</f>
        <v>0</v>
      </c>
      <c r="FO90" s="1947"/>
      <c r="FP90" s="1947"/>
      <c r="FQ90" s="690">
        <f>IF(FO90=0,0,(FP90-FO90)/FO90*100)</f>
        <v>0</v>
      </c>
      <c r="FR90" s="1947"/>
      <c r="FS90" s="1947"/>
      <c r="FT90" s="690">
        <f>IF(FR90=0,0,(FS90-FR90)/FR90*100)</f>
        <v>0</v>
      </c>
      <c r="FU90" s="1947"/>
      <c r="FV90" s="1947"/>
      <c r="FW90" s="690">
        <f>IF(FU90=0,0,(FV90-FU90)/FU90*100)</f>
        <v>0</v>
      </c>
      <c r="FX90" s="497"/>
      <c r="FY90" s="497"/>
      <c r="FZ90" s="1182" t="s">
        <v>2095</v>
      </c>
      <c r="GA90" s="1217"/>
      <c r="GB90" s="1217"/>
      <c r="GC90" s="1217"/>
      <c r="GD90" s="1217"/>
    </row>
    <row s="1642" customFormat="1" customHeight="1" ht="16.5" hidden="1">
      <c r="A91" s="1437"/>
      <c r="B91" s="962" cm="1" t="str">
        <f t="array" ref="B91:B91">OFFSET(A91,-1,1)</f>
        <v>true</v>
      </c>
      <c r="C91" s="1323" t="s">
        <v>2077</v>
      </c>
      <c r="D91" s="1292" t="s">
        <v>2078</v>
      </c>
      <c r="E91" s="923">
        <v>17.1</v>
      </c>
      <c r="F91" s="920" cm="1" t="str">
        <f t="array" ref="F91:F91">OFFSET(G91,-1,-1)</f>
        <v>1</v>
      </c>
      <c r="G91" s="497"/>
      <c r="H91" s="497"/>
      <c r="I91" s="497"/>
      <c r="J91" s="1313" t="s">
        <v>2058</v>
      </c>
      <c r="K91" s="1313" cm="1" t="str">
        <f t="array" ref="K91:K91">OFFSET(J91,-1,1)</f>
        <v>ТЭ.73.28136693.0002</v>
      </c>
      <c r="L91" s="1313"/>
      <c r="M91" s="1313"/>
      <c r="N91" s="1313" t="s">
        <v>2080</v>
      </c>
      <c r="O91" s="1314" t="s">
        <v>2081</v>
      </c>
      <c r="P91" s="1313"/>
      <c r="Q91" s="1313" cm="1" t="str">
        <f t="array" ref="Q91:Q91">AB91</f>
        <v>0</v>
      </c>
      <c r="R91" s="926"/>
      <c r="S91" s="497"/>
      <c r="T91" s="805">
        <f>AND(OFFSET(S91,1,1),Y91&gt;0)</f>
        <v>0</v>
      </c>
      <c r="U91" s="1437"/>
      <c r="V91" s="1437"/>
      <c r="W91" s="1437" t="s">
        <v>235</v>
      </c>
      <c r="X91" s="1437"/>
      <c r="Y91" s="1437">
        <v>0</v>
      </c>
      <c r="Z91" s="1437"/>
      <c r="AA91" s="1385" t="s">
        <v>219</v>
      </c>
      <c r="AB91" s="2079"/>
      <c r="AC91" s="1443" t="s">
        <v>889</v>
      </c>
      <c r="AD91" s="114"/>
      <c r="AE91" s="114"/>
      <c r="AF91" s="690">
        <f>IF(AD91=0,0,(AE91-AD91)/AD91*100)</f>
        <v>0</v>
      </c>
      <c r="AG91" s="2065"/>
      <c r="AH91" s="2065"/>
      <c r="AI91" s="690">
        <f>IF(AG91=0,0,(AH91-AG91)/AG91*100)</f>
        <v>0</v>
      </c>
      <c r="AJ91" s="2065"/>
      <c r="AK91" s="2065"/>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2096</v>
      </c>
      <c r="GA91" s="1217" t="s">
        <v>2097</v>
      </c>
      <c r="GB91" s="1217" cm="1" t="str">
        <f t="array" ref="GB91:GB91">AB91</f>
        <v>0</v>
      </c>
      <c r="GC91" s="1217"/>
      <c r="GD91" s="1217" t="b">
        <v>1</v>
      </c>
    </row>
    <row s="1642" customFormat="1" customHeight="1" ht="16.5" hidden="1">
      <c r="A92" s="1437"/>
      <c r="B92" s="962" cm="1" t="str">
        <f t="array" ref="B92:B92">OFFSET(A92,-1,1)</f>
        <v>true</v>
      </c>
      <c r="C92" s="1323" t="s">
        <v>1689</v>
      </c>
      <c r="D92" s="1292" t="s">
        <v>1690</v>
      </c>
      <c r="E92" s="923">
        <v>17.1</v>
      </c>
      <c r="F92" s="920" cm="1" t="str">
        <f t="array" ref="F92:F92">OFFSET(G92,-1,-1)</f>
        <v>1</v>
      </c>
      <c r="G92" s="497"/>
      <c r="H92" s="497"/>
      <c r="I92" s="497"/>
      <c r="J92" s="1313" t="s">
        <v>2058</v>
      </c>
      <c r="K92" s="1313" cm="1" t="str">
        <f t="array" ref="K92:K92">OFFSET(J92,-1,1)</f>
        <v>ТЭ.73.28136693.0002</v>
      </c>
      <c r="L92" s="1313" t="s">
        <v>2072</v>
      </c>
      <c r="M92" s="1313"/>
      <c r="N92" s="1313" t="s">
        <v>2080</v>
      </c>
      <c r="O92" s="1314" t="s">
        <v>2081</v>
      </c>
      <c r="P92" s="1313"/>
      <c r="Q92" s="1313" cm="1" t="str">
        <f t="array" ref="Q92:Q92">AB91</f>
        <v>0</v>
      </c>
      <c r="R92" s="926"/>
      <c r="S92" s="497"/>
      <c r="T92" s="805">
        <f>AND(OFFSET(S92,1,1),Y91&gt;0)</f>
        <v>0</v>
      </c>
      <c r="U92" s="1437"/>
      <c r="V92" s="1437"/>
      <c r="W92" s="1437"/>
      <c r="X92" s="1437"/>
      <c r="Y92" s="1437"/>
      <c r="Z92" s="1437"/>
      <c r="AA92" s="1385"/>
      <c r="AB92" s="1353" t="s">
        <v>2098</v>
      </c>
      <c r="AC92" s="1443" t="s">
        <v>586</v>
      </c>
      <c r="AD92" s="114"/>
      <c r="AE92" s="114"/>
      <c r="AF92" s="690">
        <f>IF(AD92=0,0,(AE92-AD92)/AD92*100)</f>
        <v>0</v>
      </c>
      <c r="AG92" s="2065"/>
      <c r="AH92" s="2065"/>
      <c r="AI92" s="690">
        <f>IF(AG92=0,0,(AH92-AG92)/AG92*100)</f>
        <v>0</v>
      </c>
      <c r="AJ92" s="2065"/>
      <c r="AK92" s="2065"/>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2091</v>
      </c>
      <c r="GA92" s="1217" t="s">
        <v>2097</v>
      </c>
      <c r="GB92" s="1217" cm="1" t="str">
        <f t="array" ref="GB92:GB92">GB91</f>
        <v>0</v>
      </c>
      <c r="GC92" s="1217"/>
      <c r="GD92" s="1217"/>
    </row>
    <row s="1642"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ТЭ.73.28136693.0002</v>
      </c>
      <c r="L93" s="1315"/>
      <c r="M93" s="1315"/>
      <c r="N93" s="1315"/>
      <c r="O93" s="1315"/>
      <c r="P93" s="1315"/>
      <c r="Q93" s="1315"/>
      <c r="R93" s="926"/>
      <c r="S93" s="497"/>
      <c r="T93" s="805" cm="1" t="str">
        <f t="array" ref="T93:T93">T90</f>
        <v>true</v>
      </c>
      <c r="U93" s="1437"/>
      <c r="V93" s="1437"/>
      <c r="W93" s="1184" t="s">
        <v>2099</v>
      </c>
      <c r="X93" s="1437"/>
      <c r="Y93" s="1437"/>
      <c r="Z93" s="1437"/>
      <c r="AA93" s="497"/>
      <c r="AB93" s="898"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2097</v>
      </c>
      <c r="GD93" s="1217"/>
    </row>
    <row s="1642"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ТЭ.73.28136693.0002</v>
      </c>
      <c r="L94" s="1315"/>
      <c r="M94" s="1315"/>
      <c r="N94" s="1315"/>
      <c r="O94" s="1315"/>
      <c r="P94" s="1315"/>
      <c r="Q94" s="1315"/>
      <c r="R94" s="926"/>
      <c r="S94" s="497"/>
      <c r="T94" s="805">
        <f>AND(F94&gt;0,G74="двухставочный")</f>
        <v>0</v>
      </c>
      <c r="U94" s="1437"/>
      <c r="V94" s="1437"/>
      <c r="W94" s="1437"/>
      <c r="X94" s="1437"/>
      <c r="Y94" s="1437"/>
      <c r="Z94" s="1437"/>
      <c r="AA94" s="497"/>
      <c r="AB94" s="745" t="s">
        <v>2100</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42"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ТЭ.73.28136693.0002</v>
      </c>
      <c r="L95" s="1297"/>
      <c r="M95" s="1297"/>
      <c r="N95" s="1297"/>
      <c r="O95" s="1297"/>
      <c r="P95" s="1297"/>
      <c r="Q95" s="1315"/>
      <c r="R95" s="926"/>
      <c r="S95" s="497"/>
      <c r="T95" s="805" cm="1" t="str">
        <f t="array" ref="T95:T95">T94</f>
        <v>false</v>
      </c>
      <c r="U95" s="1437"/>
      <c r="V95" s="1437"/>
      <c r="W95" s="1437"/>
      <c r="X95" s="1437"/>
      <c r="Y95" s="1437"/>
      <c r="Z95" s="1437"/>
      <c r="AA95" s="497"/>
      <c r="AB95" s="1352" t="s">
        <v>2101</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42" customFormat="1" customHeight="1" ht="15" hidden="1">
      <c r="A96" s="1437"/>
      <c r="B96" s="962" cm="1" t="str">
        <f t="array" ref="B96:B96">B95</f>
        <v>false</v>
      </c>
      <c r="C96" s="1323" t="s">
        <v>2102</v>
      </c>
      <c r="D96" s="1292" t="s">
        <v>2103</v>
      </c>
      <c r="E96" s="794">
        <v>15.8</v>
      </c>
      <c r="F96" s="920" cm="1" t="str">
        <f t="array" ref="F96:F96">OFFSET(G96,-1,-1)</f>
        <v>1</v>
      </c>
      <c r="G96" s="736" t="s">
        <v>1697</v>
      </c>
      <c r="H96" s="210" t="s">
        <v>2104</v>
      </c>
      <c r="I96" s="210" t="s">
        <v>2057</v>
      </c>
      <c r="J96" s="1313"/>
      <c r="K96" s="1313" cm="1" t="str">
        <f t="array" ref="K96:K96">OFFSET(J96,-1,1)</f>
        <v>ТЭ.73.28136693.0002</v>
      </c>
      <c r="L96" s="1313"/>
      <c r="M96" s="1313" t="s">
        <v>1692</v>
      </c>
      <c r="N96" s="1313" t="s">
        <v>2060</v>
      </c>
      <c r="O96" s="1314" t="s">
        <v>2061</v>
      </c>
      <c r="P96" s="1313" t="s">
        <v>2105</v>
      </c>
      <c r="Q96" s="1313"/>
      <c r="R96" s="926"/>
      <c r="S96" s="497"/>
      <c r="T96" s="805" cm="1" t="str">
        <f t="array" ref="T96:T96">T95</f>
        <v>false</v>
      </c>
      <c r="U96" s="1437"/>
      <c r="V96" s="1437"/>
      <c r="W96" s="1437"/>
      <c r="X96" s="1437"/>
      <c r="Y96" s="1437"/>
      <c r="Z96" s="1437"/>
      <c r="AA96" s="497"/>
      <c r="AB96" s="273" t="s">
        <v>2106</v>
      </c>
      <c r="AC96" s="169" t="s">
        <v>889</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509.65</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509.65</v>
      </c>
      <c r="AF96" s="365">
        <f>IF(AD96=0,0,(AE96-AD96)/AD96*100)</f>
        <v>0</v>
      </c>
      <c r="AG96" s="1710">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10">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1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1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2107</v>
      </c>
      <c r="GA96" s="1217"/>
      <c r="GB96" s="1217"/>
      <c r="GC96" s="1217"/>
      <c r="GD96" s="1217"/>
    </row>
    <row s="1642" customFormat="1" customHeight="1" ht="15" hidden="1">
      <c r="A97" s="1437"/>
      <c r="B97" s="962" cm="1" t="str">
        <f t="array" ref="B97:B97">B96</f>
        <v>false</v>
      </c>
      <c r="C97" s="1323" t="s">
        <v>2108</v>
      </c>
      <c r="D97" s="1292" t="s">
        <v>2109</v>
      </c>
      <c r="E97" s="794">
        <v>15.8</v>
      </c>
      <c r="F97" s="920" cm="1" t="str">
        <f t="array" ref="F97:F97">OFFSET(G97,-1,-1)</f>
        <v>1</v>
      </c>
      <c r="G97" s="736" t="s">
        <v>1730</v>
      </c>
      <c r="H97" s="210" t="s">
        <v>2110</v>
      </c>
      <c r="I97" s="210" t="s">
        <v>2057</v>
      </c>
      <c r="J97" s="1313"/>
      <c r="K97" s="1313" cm="1" t="str">
        <f t="array" ref="K97:K97">OFFSET(J97,-1,1)</f>
        <v>ТЭ.73.28136693.0002</v>
      </c>
      <c r="L97" s="1313"/>
      <c r="M97" s="1313" t="s">
        <v>1692</v>
      </c>
      <c r="N97" s="1313" t="s">
        <v>2060</v>
      </c>
      <c r="O97" s="1314" t="s">
        <v>2061</v>
      </c>
      <c r="P97" s="1313" t="s">
        <v>2111</v>
      </c>
      <c r="Q97" s="1313"/>
      <c r="R97" s="926"/>
      <c r="S97" s="497"/>
      <c r="T97" s="805" cm="1" t="str">
        <f t="array" ref="T97:T97">T96</f>
        <v>false</v>
      </c>
      <c r="U97" s="1437"/>
      <c r="V97" s="1437"/>
      <c r="W97" s="1437"/>
      <c r="X97" s="1437"/>
      <c r="Y97" s="1437"/>
      <c r="Z97" s="1437"/>
      <c r="AA97" s="497"/>
      <c r="AB97" s="273" t="s">
        <v>2112</v>
      </c>
      <c r="AC97" s="169" t="s">
        <v>889</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1710">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10">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1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1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2113</v>
      </c>
      <c r="GA97" s="1217"/>
      <c r="GB97" s="1217"/>
      <c r="GC97" s="1217"/>
      <c r="GD97" s="1217"/>
    </row>
    <row s="1642" customFormat="1" customHeight="1" ht="15" hidden="1">
      <c r="A98" s="1437"/>
      <c r="B98" s="962" cm="1" t="str">
        <f t="array" ref="B98:B98">B97</f>
        <v>false</v>
      </c>
      <c r="C98" s="1323" t="s">
        <v>1689</v>
      </c>
      <c r="D98" s="1292" t="s">
        <v>1690</v>
      </c>
      <c r="E98" s="794">
        <v>15.8</v>
      </c>
      <c r="F98" s="920" cm="1" t="str">
        <f t="array" ref="F98:F98">OFFSET(G98,-1,-1)</f>
        <v>1</v>
      </c>
      <c r="G98" s="190" t="s">
        <v>1691</v>
      </c>
      <c r="H98" s="210" t="s">
        <v>2114</v>
      </c>
      <c r="I98" s="210" t="s">
        <v>2057</v>
      </c>
      <c r="J98" s="1313"/>
      <c r="K98" s="1313" cm="1" t="str">
        <f t="array" ref="K98:K98">OFFSET(J98,-1,1)</f>
        <v>ТЭ.73.28136693.0002</v>
      </c>
      <c r="L98" s="1313"/>
      <c r="M98" s="1313" t="s">
        <v>1692</v>
      </c>
      <c r="N98" s="1313" t="s">
        <v>2060</v>
      </c>
      <c r="O98" s="1314" t="s">
        <v>2061</v>
      </c>
      <c r="P98" s="1313" t="s">
        <v>2115</v>
      </c>
      <c r="Q98" s="1313"/>
      <c r="R98" s="926"/>
      <c r="S98" s="497"/>
      <c r="T98" s="805" cm="1" t="str">
        <f t="array" ref="T98:T98">T97</f>
        <v>false</v>
      </c>
      <c r="U98" s="1437"/>
      <c r="V98" s="1437"/>
      <c r="W98" s="1437"/>
      <c r="X98" s="1437"/>
      <c r="Y98" s="1437"/>
      <c r="Z98" s="1437"/>
      <c r="AA98" s="497"/>
      <c r="AB98" s="273" t="s">
        <v>2116</v>
      </c>
      <c r="AC98" s="169" t="s">
        <v>586</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193887.78</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189888.22</v>
      </c>
      <c r="AF98" s="397">
        <f>IF(AD98=0,0,(AE98-AD98)/AD98*100)</f>
        <v>-2.06282211287374</v>
      </c>
      <c r="AG98" s="2063">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63">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063">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63">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2117</v>
      </c>
      <c r="GA98" s="1217"/>
      <c r="GB98" s="1217"/>
      <c r="GC98" s="1217"/>
      <c r="GD98" s="1217"/>
    </row>
    <row s="1642" customFormat="1" customHeight="1" ht="30" hidden="1">
      <c r="A99" s="1437"/>
      <c r="B99" s="962" cm="1" t="str">
        <f t="array" ref="B99:B99">B98</f>
        <v>false</v>
      </c>
      <c r="C99" s="1323" t="s">
        <v>1743</v>
      </c>
      <c r="D99" s="1292" t="s">
        <v>1744</v>
      </c>
      <c r="E99" s="794">
        <v>31.5</v>
      </c>
      <c r="F99" s="920" cm="1" t="str">
        <f t="array" ref="F99:F99">OFFSET(G99,-1,-1)</f>
        <v>1</v>
      </c>
      <c r="G99" s="736" t="s">
        <v>1745</v>
      </c>
      <c r="H99" s="210" t="s">
        <v>2118</v>
      </c>
      <c r="I99" s="210" t="s">
        <v>2057</v>
      </c>
      <c r="J99" s="1313"/>
      <c r="K99" s="1313" cm="1" t="str">
        <f t="array" ref="K99:K99">OFFSET(J99,-1,1)</f>
        <v>ТЭ.73.28136693.0002</v>
      </c>
      <c r="L99" s="1313"/>
      <c r="M99" s="1313" t="s">
        <v>1692</v>
      </c>
      <c r="N99" s="1313" t="s">
        <v>2060</v>
      </c>
      <c r="O99" s="1314" t="s">
        <v>2061</v>
      </c>
      <c r="P99" s="1313" t="s">
        <v>2119</v>
      </c>
      <c r="Q99" s="1313"/>
      <c r="R99" s="926"/>
      <c r="S99" s="497"/>
      <c r="T99" s="805" cm="1" t="str">
        <f t="array" ref="T99:T99">T98</f>
        <v>false</v>
      </c>
      <c r="U99" s="1437"/>
      <c r="V99" s="1437"/>
      <c r="W99" s="1437"/>
      <c r="X99" s="1437"/>
      <c r="Y99" s="1437"/>
      <c r="Z99" s="1437"/>
      <c r="AA99" s="497"/>
      <c r="AB99" s="273" t="s">
        <v>2120</v>
      </c>
      <c r="AC99" s="517" t="s">
        <v>1747</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10">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10">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1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1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2121</v>
      </c>
      <c r="GA99" s="1217"/>
      <c r="GB99" s="1217"/>
      <c r="GC99" s="1217"/>
      <c r="GD99" s="1217"/>
    </row>
    <row s="1642" customFormat="1" customHeight="1" ht="15" hidden="1">
      <c r="A100" s="1437"/>
      <c r="B100" s="962" cm="1" t="str">
        <f t="array" ref="B100:B100">B99</f>
        <v>false</v>
      </c>
      <c r="C100" s="1323" t="s">
        <v>1715</v>
      </c>
      <c r="D100" s="1292" t="s">
        <v>1716</v>
      </c>
      <c r="E100" s="794">
        <v>15.8</v>
      </c>
      <c r="F100" s="920" cm="1" t="str">
        <f t="array" ref="F100:F100">OFFSET(G100,-1,-1)</f>
        <v>1</v>
      </c>
      <c r="G100" s="736" t="s">
        <v>1719</v>
      </c>
      <c r="H100" s="210" t="s">
        <v>2122</v>
      </c>
      <c r="I100" s="210" t="s">
        <v>2057</v>
      </c>
      <c r="J100" s="1313"/>
      <c r="K100" s="1313" cm="1" t="str">
        <f t="array" ref="K100:K100">OFFSET(J100,-1,1)</f>
        <v>ТЭ.73.28136693.0002</v>
      </c>
      <c r="L100" s="1313"/>
      <c r="M100" s="1313" t="s">
        <v>1692</v>
      </c>
      <c r="N100" s="1313" t="s">
        <v>2060</v>
      </c>
      <c r="O100" s="1314" t="s">
        <v>2061</v>
      </c>
      <c r="P100" s="1313" t="s">
        <v>2123</v>
      </c>
      <c r="Q100" s="1313"/>
      <c r="R100" s="926"/>
      <c r="S100" s="497"/>
      <c r="T100" s="805" cm="1" t="str">
        <f t="array" ref="T100:T100">T99</f>
        <v>false</v>
      </c>
      <c r="U100" s="1437"/>
      <c r="V100" s="1437"/>
      <c r="W100" s="1437"/>
      <c r="X100" s="1437"/>
      <c r="Y100" s="1437"/>
      <c r="Z100" s="1437"/>
      <c r="AA100" s="497"/>
      <c r="AB100" s="273" t="s">
        <v>2124</v>
      </c>
      <c r="AC100" s="664" t="s">
        <v>684</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10">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10">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1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1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2125</v>
      </c>
      <c r="GA100" s="1217"/>
      <c r="GB100" s="1217"/>
      <c r="GC100" s="1217"/>
      <c r="GD100" s="1217"/>
    </row>
    <row s="1642"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ТЭ.73.28136693.0002</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2126</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42" customFormat="1" customHeight="1" ht="15" hidden="1">
      <c r="A102" s="1437"/>
      <c r="B102" s="962" cm="1" t="str">
        <f t="array" ref="B102:B102">B101</f>
        <v>false</v>
      </c>
      <c r="C102" s="1323" t="s">
        <v>2102</v>
      </c>
      <c r="D102" s="1292" t="s">
        <v>2103</v>
      </c>
      <c r="E102" s="794">
        <v>15.8</v>
      </c>
      <c r="F102" s="920" cm="1" t="str">
        <f t="array" ref="F102:F102">OFFSET(G102,-1,-1)</f>
        <v>1</v>
      </c>
      <c r="G102" s="736" t="s">
        <v>1704</v>
      </c>
      <c r="H102" s="210" t="s">
        <v>2104</v>
      </c>
      <c r="I102" s="210" t="s">
        <v>2064</v>
      </c>
      <c r="J102" s="1313"/>
      <c r="K102" s="1313" cm="1" t="str">
        <f t="array" ref="K102:K102">OFFSET(J102,-1,1)</f>
        <v>ТЭ.73.28136693.0002</v>
      </c>
      <c r="L102" s="1313"/>
      <c r="M102" s="1313" t="s">
        <v>1701</v>
      </c>
      <c r="N102" s="1313" t="s">
        <v>2060</v>
      </c>
      <c r="O102" s="1314" t="s">
        <v>2061</v>
      </c>
      <c r="P102" s="1313" t="s">
        <v>2105</v>
      </c>
      <c r="Q102" s="1313"/>
      <c r="R102" s="926"/>
      <c r="S102" s="497"/>
      <c r="T102" s="805" cm="1" t="str">
        <f t="array" ref="T102:T102">T101</f>
        <v>false</v>
      </c>
      <c r="U102" s="1437"/>
      <c r="V102" s="1437"/>
      <c r="W102" s="1437"/>
      <c r="X102" s="1437"/>
      <c r="Y102" s="1437"/>
      <c r="Z102" s="1437"/>
      <c r="AA102" s="497"/>
      <c r="AB102" s="273" t="s">
        <v>2106</v>
      </c>
      <c r="AC102" s="169" t="s">
        <v>889</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2719.41230210389</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679.9</v>
      </c>
      <c r="AF102" s="365">
        <f>IF(AD102=0,0,(AE102-AD102)/AD102*100)</f>
        <v>-74.9982744626848</v>
      </c>
      <c r="AG102" s="1710">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10">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1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1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2127</v>
      </c>
      <c r="GA102" s="1217"/>
      <c r="GB102" s="1217"/>
      <c r="GC102" s="1217"/>
      <c r="GD102" s="1217"/>
    </row>
    <row s="1642" customFormat="1" customHeight="1" ht="15" hidden="1">
      <c r="A103" s="1437"/>
      <c r="B103" s="962" cm="1" t="str">
        <f t="array" ref="B103:B103">B102</f>
        <v>false</v>
      </c>
      <c r="C103" s="1323" t="s">
        <v>2108</v>
      </c>
      <c r="D103" s="1292" t="s">
        <v>2109</v>
      </c>
      <c r="E103" s="794">
        <v>15.8</v>
      </c>
      <c r="F103" s="920" cm="1" t="str">
        <f t="array" ref="F103:F103">OFFSET(G103,-1,-1)</f>
        <v>1</v>
      </c>
      <c r="G103" s="736" t="s">
        <v>1733</v>
      </c>
      <c r="H103" s="210" t="s">
        <v>2110</v>
      </c>
      <c r="I103" s="210" t="s">
        <v>2064</v>
      </c>
      <c r="J103" s="1313"/>
      <c r="K103" s="1313" cm="1" t="str">
        <f t="array" ref="K103:K103">OFFSET(J103,-1,1)</f>
        <v>ТЭ.73.28136693.0002</v>
      </c>
      <c r="L103" s="1313"/>
      <c r="M103" s="1313" t="s">
        <v>1701</v>
      </c>
      <c r="N103" s="1313" t="s">
        <v>2060</v>
      </c>
      <c r="O103" s="1314" t="s">
        <v>2061</v>
      </c>
      <c r="P103" s="1313" t="s">
        <v>2111</v>
      </c>
      <c r="Q103" s="1313"/>
      <c r="R103" s="926"/>
      <c r="S103" s="497"/>
      <c r="T103" s="805" cm="1" t="str">
        <f t="array" ref="T103:T103">T102</f>
        <v>false</v>
      </c>
      <c r="U103" s="1437"/>
      <c r="V103" s="1437"/>
      <c r="W103" s="1437"/>
      <c r="X103" s="1437"/>
      <c r="Y103" s="1437"/>
      <c r="Z103" s="1437"/>
      <c r="AA103" s="497"/>
      <c r="AB103" s="273" t="s">
        <v>2112</v>
      </c>
      <c r="AC103" s="169" t="s">
        <v>889</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5">
        <f>IF(AD103=0,0,(AE103-AD103)/AD103*100)</f>
        <v>0</v>
      </c>
      <c r="AG103" s="1710">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10">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1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1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2128</v>
      </c>
      <c r="GA103" s="1217"/>
      <c r="GB103" s="1217"/>
      <c r="GC103" s="1217"/>
      <c r="GD103" s="1217"/>
    </row>
    <row s="1642" customFormat="1" customHeight="1" ht="15" hidden="1">
      <c r="A104" s="1437"/>
      <c r="B104" s="962" cm="1" t="str">
        <f t="array" ref="B104:B104">B103</f>
        <v>false</v>
      </c>
      <c r="C104" s="1323" t="s">
        <v>1689</v>
      </c>
      <c r="D104" s="1292" t="s">
        <v>1690</v>
      </c>
      <c r="E104" s="794">
        <v>15.8</v>
      </c>
      <c r="F104" s="920" cm="1" t="str">
        <f t="array" ref="F104:F104">OFFSET(G104,-1,-1)</f>
        <v>1</v>
      </c>
      <c r="G104" s="190" t="s">
        <v>1700</v>
      </c>
      <c r="H104" s="210" t="s">
        <v>2114</v>
      </c>
      <c r="I104" s="210" t="s">
        <v>2064</v>
      </c>
      <c r="J104" s="1313"/>
      <c r="K104" s="1313" cm="1" t="str">
        <f t="array" ref="K104:K104">OFFSET(J104,-1,1)</f>
        <v>ТЭ.73.28136693.0002</v>
      </c>
      <c r="L104" s="1313"/>
      <c r="M104" s="1313" t="s">
        <v>1701</v>
      </c>
      <c r="N104" s="1313" t="s">
        <v>2060</v>
      </c>
      <c r="O104" s="1314" t="s">
        <v>2061</v>
      </c>
      <c r="P104" s="1313" t="s">
        <v>2115</v>
      </c>
      <c r="Q104" s="1313"/>
      <c r="R104" s="926"/>
      <c r="S104" s="497"/>
      <c r="T104" s="805" cm="1" t="str">
        <f t="array" ref="T104:T104">T103</f>
        <v>false</v>
      </c>
      <c r="U104" s="1437"/>
      <c r="V104" s="1437"/>
      <c r="W104" s="1437"/>
      <c r="X104" s="1437"/>
      <c r="Y104" s="1437"/>
      <c r="Z104" s="1437"/>
      <c r="AA104" s="497"/>
      <c r="AB104" s="273" t="s">
        <v>2116</v>
      </c>
      <c r="AC104" s="169" t="s">
        <v>586</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130315.05797</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141260.45</v>
      </c>
      <c r="AF104" s="397">
        <f>IF(AD104=0,0,(AE104-AD104)/AD104*100)</f>
        <v>8.39917673406535</v>
      </c>
      <c r="AG104" s="2063">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63">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063">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63">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2129</v>
      </c>
      <c r="GA104" s="1217"/>
      <c r="GB104" s="1217"/>
      <c r="GC104" s="1217"/>
      <c r="GD104" s="1217"/>
    </row>
    <row s="1642" customFormat="1" customHeight="1" ht="30" hidden="1">
      <c r="A105" s="1437"/>
      <c r="B105" s="962" cm="1" t="str">
        <f t="array" ref="B105:B105">B104</f>
        <v>false</v>
      </c>
      <c r="C105" s="1323" t="s">
        <v>1743</v>
      </c>
      <c r="D105" s="1292" t="s">
        <v>1744</v>
      </c>
      <c r="E105" s="794">
        <v>31.5</v>
      </c>
      <c r="F105" s="920" cm="1" t="str">
        <f t="array" ref="F105:F105">OFFSET(G105,-1,-1)</f>
        <v>1</v>
      </c>
      <c r="G105" s="736" t="s">
        <v>1749</v>
      </c>
      <c r="H105" s="210" t="s">
        <v>2118</v>
      </c>
      <c r="I105" s="210" t="s">
        <v>2064</v>
      </c>
      <c r="J105" s="1313"/>
      <c r="K105" s="1313" cm="1" t="str">
        <f t="array" ref="K105:K105">OFFSET(J105,-1,1)</f>
        <v>ТЭ.73.28136693.0002</v>
      </c>
      <c r="L105" s="1313"/>
      <c r="M105" s="1313" t="s">
        <v>1701</v>
      </c>
      <c r="N105" s="1313" t="s">
        <v>2060</v>
      </c>
      <c r="O105" s="1314" t="s">
        <v>2061</v>
      </c>
      <c r="P105" s="1313" t="s">
        <v>2119</v>
      </c>
      <c r="Q105" s="1313"/>
      <c r="R105" s="926"/>
      <c r="S105" s="497"/>
      <c r="T105" s="805" cm="1" t="str">
        <f t="array" ref="T105:T105">T104</f>
        <v>false</v>
      </c>
      <c r="U105" s="1437"/>
      <c r="V105" s="1437"/>
      <c r="W105" s="1437"/>
      <c r="X105" s="1437"/>
      <c r="Y105" s="1437"/>
      <c r="Z105" s="1437"/>
      <c r="AA105" s="497"/>
      <c r="AB105" s="273" t="s">
        <v>2120</v>
      </c>
      <c r="AC105" s="517" t="s">
        <v>1747</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10">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10">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1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1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2130</v>
      </c>
      <c r="GA105" s="1217"/>
      <c r="GB105" s="1217"/>
      <c r="GC105" s="1217"/>
      <c r="GD105" s="1217"/>
    </row>
    <row s="1642" customFormat="1" customHeight="1" ht="15" hidden="1">
      <c r="A106" s="1437"/>
      <c r="B106" s="962" cm="1" t="str">
        <f t="array" ref="B106:B106">B105</f>
        <v>false</v>
      </c>
      <c r="C106" s="1323" t="s">
        <v>1715</v>
      </c>
      <c r="D106" s="1292" t="s">
        <v>1716</v>
      </c>
      <c r="E106" s="794">
        <v>15.8</v>
      </c>
      <c r="F106" s="920" cm="1" t="str">
        <f t="array" ref="F106:F106">OFFSET(G106,-1,-1)</f>
        <v>1</v>
      </c>
      <c r="G106" s="736" t="s">
        <v>1722</v>
      </c>
      <c r="H106" s="210" t="s">
        <v>2122</v>
      </c>
      <c r="I106" s="210" t="s">
        <v>2064</v>
      </c>
      <c r="J106" s="1313"/>
      <c r="K106" s="1313" cm="1" t="str">
        <f t="array" ref="K106:K106">OFFSET(J106,-1,1)</f>
        <v>ТЭ.73.28136693.0002</v>
      </c>
      <c r="L106" s="1313"/>
      <c r="M106" s="1313" t="s">
        <v>1701</v>
      </c>
      <c r="N106" s="1313" t="s">
        <v>2060</v>
      </c>
      <c r="O106" s="1314" t="s">
        <v>2061</v>
      </c>
      <c r="P106" s="1313" t="s">
        <v>2123</v>
      </c>
      <c r="Q106" s="1313"/>
      <c r="R106" s="926"/>
      <c r="S106" s="497"/>
      <c r="T106" s="805" cm="1" t="str">
        <f t="array" ref="T106:T106">T105</f>
        <v>false</v>
      </c>
      <c r="U106" s="1437"/>
      <c r="V106" s="1437"/>
      <c r="W106" s="1437"/>
      <c r="X106" s="1437"/>
      <c r="Y106" s="1437"/>
      <c r="Z106" s="1437"/>
      <c r="AA106" s="497"/>
      <c r="AB106" s="273" t="s">
        <v>2124</v>
      </c>
      <c r="AC106" s="664" t="s">
        <v>684</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10">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10">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1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1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2131</v>
      </c>
      <c r="GA106" s="1217"/>
      <c r="GB106" s="1217"/>
      <c r="GC106" s="1217"/>
      <c r="GD106" s="1217"/>
    </row>
    <row s="1642"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ТЭ.73.28136693.0002</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2082</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42" customFormat="1" customHeight="1" ht="15" hidden="1">
      <c r="A108" s="1437"/>
      <c r="B108" s="962" cm="1" t="str">
        <f t="array" ref="B108:B108">B107</f>
        <v>false</v>
      </c>
      <c r="C108" s="1323" t="s">
        <v>2132</v>
      </c>
      <c r="D108" s="1292" t="s">
        <v>2133</v>
      </c>
      <c r="E108" s="794">
        <v>15.8</v>
      </c>
      <c r="F108" s="920" cm="1" t="str">
        <f t="array" ref="F108:F108">OFFSET(G108,-1,-1)</f>
        <v>1</v>
      </c>
      <c r="G108" s="497"/>
      <c r="H108" s="210" t="s">
        <v>2104</v>
      </c>
      <c r="I108" s="210" t="s">
        <v>2079</v>
      </c>
      <c r="J108" s="1313"/>
      <c r="K108" s="1313" cm="1" t="str">
        <f t="array" ref="K108:K108">OFFSET(J108,-1,1)</f>
        <v>ТЭ.73.28136693.0002</v>
      </c>
      <c r="L108" s="1313"/>
      <c r="M108" s="1313" t="s">
        <v>1692</v>
      </c>
      <c r="N108" s="1313" t="s">
        <v>2080</v>
      </c>
      <c r="O108" s="1314" t="s">
        <v>2081</v>
      </c>
      <c r="P108" s="1313" t="s">
        <v>2105</v>
      </c>
      <c r="Q108" s="1313"/>
      <c r="R108" s="926"/>
      <c r="S108" s="497"/>
      <c r="T108" s="805" cm="1" t="str">
        <f t="array" ref="T108:T108">T107</f>
        <v>false</v>
      </c>
      <c r="U108" s="1437"/>
      <c r="V108" s="1437"/>
      <c r="W108" s="1437"/>
      <c r="X108" s="1437"/>
      <c r="Y108" s="1437"/>
      <c r="Z108" s="1437"/>
      <c r="AA108" s="497"/>
      <c r="AB108" s="273" t="s">
        <v>2106</v>
      </c>
      <c r="AC108" s="169" t="s">
        <v>889</v>
      </c>
      <c r="AD108" s="67">
        <f>IF(AD110=0,0,(AD109*AD110+AD111*AD112*IF(god=2026,9,6))/AD110)</f>
        <v>0</v>
      </c>
      <c r="AE108" s="67">
        <f>IF(AE110=0,0,(AE109*AE110+AE111*AE112*IF(god=2026,9,6))/AE110)</f>
        <v>0</v>
      </c>
      <c r="AF108" s="365">
        <f>IF(AD108=0,0,(AE108-AD108)/AD108*100)</f>
        <v>0</v>
      </c>
      <c r="AG108" s="1710">
        <f>IF(AG110=0,0,(AG109*AG110+AG111*AG112*IF(god=2025,9,6))/AG110)</f>
        <v>0</v>
      </c>
      <c r="AH108" s="1710">
        <f>IF(AH110=0,0,(AH109*AH110+AH111*AH112*IF(god=2025,9,6))/AH110)</f>
        <v>0</v>
      </c>
      <c r="AI108" s="365">
        <f>IF(AG108=0,0,(AH108-AG108)/AG108*100)</f>
        <v>0</v>
      </c>
      <c r="AJ108" s="1710">
        <f>IF(AJ110=0,0,(AJ109*AJ110+AJ111*AJ112*6)/AJ110)</f>
        <v>0</v>
      </c>
      <c r="AK108" s="1710">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2134</v>
      </c>
      <c r="GA108" s="1217"/>
      <c r="GB108" s="1217"/>
      <c r="GC108" s="1217"/>
      <c r="GD108" s="1217"/>
    </row>
    <row s="1642" customFormat="1" customHeight="1" ht="15" hidden="1">
      <c r="A109" s="1437"/>
      <c r="B109" s="962" cm="1" t="str">
        <f t="array" ref="B109:B109">B108</f>
        <v>false</v>
      </c>
      <c r="C109" s="1323" t="s">
        <v>2135</v>
      </c>
      <c r="D109" s="1292" t="s">
        <v>2136</v>
      </c>
      <c r="E109" s="794">
        <v>15.8</v>
      </c>
      <c r="F109" s="920" cm="1" t="str">
        <f t="array" ref="F109:F109">OFFSET(G109,-1,-1)</f>
        <v>1</v>
      </c>
      <c r="G109" s="497"/>
      <c r="H109" s="210" t="s">
        <v>2110</v>
      </c>
      <c r="I109" s="210" t="s">
        <v>2079</v>
      </c>
      <c r="J109" s="1313"/>
      <c r="K109" s="1313" cm="1" t="str">
        <f t="array" ref="K109:K109">OFFSET(J109,-1,1)</f>
        <v>ТЭ.73.28136693.0002</v>
      </c>
      <c r="L109" s="1313"/>
      <c r="M109" s="1313" t="s">
        <v>1692</v>
      </c>
      <c r="N109" s="1313" t="s">
        <v>2080</v>
      </c>
      <c r="O109" s="1314" t="s">
        <v>2081</v>
      </c>
      <c r="P109" s="1313" t="s">
        <v>2111</v>
      </c>
      <c r="Q109" s="1313"/>
      <c r="R109" s="926"/>
      <c r="S109" s="497"/>
      <c r="T109" s="805" cm="1" t="str">
        <f t="array" ref="T109:T109">T108</f>
        <v>false</v>
      </c>
      <c r="U109" s="1437"/>
      <c r="V109" s="1437"/>
      <c r="W109" s="1437"/>
      <c r="X109" s="1437"/>
      <c r="Y109" s="1437"/>
      <c r="Z109" s="1437"/>
      <c r="AA109" s="497"/>
      <c r="AB109" s="273" t="s">
        <v>2112</v>
      </c>
      <c r="AC109" s="169" t="s">
        <v>889</v>
      </c>
      <c r="AD109" s="67"/>
      <c r="AE109" s="67"/>
      <c r="AF109" s="365">
        <f>IF(AD109=0,0,(AE109-AD109)/AD109*100)</f>
        <v>0</v>
      </c>
      <c r="AG109" s="1710"/>
      <c r="AH109" s="1710"/>
      <c r="AI109" s="365">
        <f>IF(AG109=0,0,(AH109-AG109)/AG109*100)</f>
        <v>0</v>
      </c>
      <c r="AJ109" s="1710"/>
      <c r="AK109" s="1710"/>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2137</v>
      </c>
      <c r="GA109" s="1217"/>
      <c r="GB109" s="1217"/>
      <c r="GC109" s="1217"/>
      <c r="GD109" s="1217"/>
    </row>
    <row s="1642" customFormat="1" customHeight="1" ht="15" hidden="1">
      <c r="A110" s="1437"/>
      <c r="B110" s="962" cm="1" t="str">
        <f t="array" ref="B110:B110">B109</f>
        <v>false</v>
      </c>
      <c r="C110" s="1323" t="s">
        <v>1689</v>
      </c>
      <c r="D110" s="1292" t="s">
        <v>1690</v>
      </c>
      <c r="E110" s="794">
        <v>15.8</v>
      </c>
      <c r="F110" s="920" cm="1" t="str">
        <f t="array" ref="F110:F110">OFFSET(G110,-1,-1)</f>
        <v>1</v>
      </c>
      <c r="G110" s="497"/>
      <c r="H110" s="210" t="s">
        <v>2114</v>
      </c>
      <c r="I110" s="210" t="s">
        <v>2079</v>
      </c>
      <c r="J110" s="1313"/>
      <c r="K110" s="1313" cm="1" t="str">
        <f t="array" ref="K110:K110">OFFSET(J110,-1,1)</f>
        <v>ТЭ.73.28136693.0002</v>
      </c>
      <c r="L110" s="1313"/>
      <c r="M110" s="1313" t="s">
        <v>1692</v>
      </c>
      <c r="N110" s="1313" t="s">
        <v>2080</v>
      </c>
      <c r="O110" s="1314" t="s">
        <v>2081</v>
      </c>
      <c r="P110" s="1313" t="s">
        <v>2115</v>
      </c>
      <c r="Q110" s="1313"/>
      <c r="R110" s="926"/>
      <c r="S110" s="497"/>
      <c r="T110" s="805" cm="1" t="str">
        <f t="array" ref="T110:T110">T109</f>
        <v>false</v>
      </c>
      <c r="U110" s="1437"/>
      <c r="V110" s="1437"/>
      <c r="W110" s="1437"/>
      <c r="X110" s="1437"/>
      <c r="Y110" s="1437"/>
      <c r="Z110" s="1437"/>
      <c r="AA110" s="497"/>
      <c r="AB110" s="273" t="s">
        <v>2116</v>
      </c>
      <c r="AC110" s="169" t="s">
        <v>586</v>
      </c>
      <c r="AD110" s="147"/>
      <c r="AE110" s="147"/>
      <c r="AF110" s="397">
        <f>IF(AD110=0,0,(AE110-AD110)/AD110*100)</f>
        <v>0</v>
      </c>
      <c r="AG110" s="2063"/>
      <c r="AH110" s="2063"/>
      <c r="AI110" s="397">
        <f>IF(AG110=0,0,(AH110-AG110)/AG110*100)</f>
        <v>0</v>
      </c>
      <c r="AJ110" s="2063"/>
      <c r="AK110" s="2063"/>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2138</v>
      </c>
      <c r="GA110" s="1217"/>
      <c r="GB110" s="1217"/>
      <c r="GC110" s="1217"/>
      <c r="GD110" s="1217"/>
    </row>
    <row s="1642" customFormat="1" customHeight="1" ht="30" hidden="1">
      <c r="A111" s="1437"/>
      <c r="B111" s="962" cm="1" t="str">
        <f t="array" ref="B111:B111">B110</f>
        <v>false</v>
      </c>
      <c r="C111" s="1323" t="s">
        <v>1743</v>
      </c>
      <c r="D111" s="1292" t="s">
        <v>1744</v>
      </c>
      <c r="E111" s="794">
        <v>31.5</v>
      </c>
      <c r="F111" s="920" cm="1" t="str">
        <f t="array" ref="F111:F111">OFFSET(G111,-1,-1)</f>
        <v>1</v>
      </c>
      <c r="G111" s="497"/>
      <c r="H111" s="210" t="s">
        <v>2118</v>
      </c>
      <c r="I111" s="210" t="s">
        <v>2079</v>
      </c>
      <c r="J111" s="1313"/>
      <c r="K111" s="1313" cm="1" t="str">
        <f t="array" ref="K111:K111">OFFSET(J111,-1,1)</f>
        <v>ТЭ.73.28136693.0002</v>
      </c>
      <c r="L111" s="1313"/>
      <c r="M111" s="1313" t="s">
        <v>1692</v>
      </c>
      <c r="N111" s="1313" t="s">
        <v>2080</v>
      </c>
      <c r="O111" s="1314" t="s">
        <v>2081</v>
      </c>
      <c r="P111" s="1313" t="s">
        <v>2119</v>
      </c>
      <c r="Q111" s="1313"/>
      <c r="R111" s="926"/>
      <c r="S111" s="497"/>
      <c r="T111" s="805" cm="1" t="str">
        <f t="array" ref="T111:T111">T110</f>
        <v>false</v>
      </c>
      <c r="U111" s="1437"/>
      <c r="V111" s="1437"/>
      <c r="W111" s="1437"/>
      <c r="X111" s="1437"/>
      <c r="Y111" s="1437"/>
      <c r="Z111" s="1437"/>
      <c r="AA111" s="497"/>
      <c r="AB111" s="273" t="s">
        <v>2120</v>
      </c>
      <c r="AC111" s="517" t="s">
        <v>1747</v>
      </c>
      <c r="AD111" s="67"/>
      <c r="AE111" s="67"/>
      <c r="AF111" s="365">
        <f>IF(AD111=0,0,(AE111-AD111)/AD111*100)</f>
        <v>0</v>
      </c>
      <c r="AG111" s="1710"/>
      <c r="AH111" s="1710"/>
      <c r="AI111" s="365">
        <f>IF(AG111=0,0,(AH111-AG111)/AG111*100)</f>
        <v>0</v>
      </c>
      <c r="AJ111" s="1710"/>
      <c r="AK111" s="1710"/>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2139</v>
      </c>
      <c r="GA111" s="1217"/>
      <c r="GB111" s="1217"/>
      <c r="GC111" s="1217"/>
      <c r="GD111" s="1217"/>
    </row>
    <row s="1642" customFormat="1" customHeight="1" ht="15" hidden="1">
      <c r="A112" s="1437"/>
      <c r="B112" s="962" cm="1" t="str">
        <f t="array" ref="B112:B112">B111</f>
        <v>false</v>
      </c>
      <c r="C112" s="1323" t="s">
        <v>1715</v>
      </c>
      <c r="D112" s="1292" t="s">
        <v>1716</v>
      </c>
      <c r="E112" s="794">
        <v>15.8</v>
      </c>
      <c r="F112" s="920" cm="1" t="str">
        <f t="array" ref="F112:F112">OFFSET(G112,-1,-1)</f>
        <v>1</v>
      </c>
      <c r="G112" s="497"/>
      <c r="H112" s="210" t="s">
        <v>2122</v>
      </c>
      <c r="I112" s="210" t="s">
        <v>2079</v>
      </c>
      <c r="J112" s="1313"/>
      <c r="K112" s="1313" cm="1" t="str">
        <f t="array" ref="K112:K112">OFFSET(J112,-1,1)</f>
        <v>ТЭ.73.28136693.0002</v>
      </c>
      <c r="L112" s="1313"/>
      <c r="M112" s="1313" t="s">
        <v>1692</v>
      </c>
      <c r="N112" s="1313" t="s">
        <v>2080</v>
      </c>
      <c r="O112" s="1314" t="s">
        <v>2081</v>
      </c>
      <c r="P112" s="1313" t="s">
        <v>2123</v>
      </c>
      <c r="Q112" s="1313"/>
      <c r="R112" s="926"/>
      <c r="S112" s="497"/>
      <c r="T112" s="805" cm="1" t="str">
        <f t="array" ref="T112:T112">T111</f>
        <v>false</v>
      </c>
      <c r="U112" s="1437"/>
      <c r="V112" s="1437"/>
      <c r="W112" s="1437"/>
      <c r="X112" s="1437"/>
      <c r="Y112" s="1437"/>
      <c r="Z112" s="1437"/>
      <c r="AA112" s="497"/>
      <c r="AB112" s="273" t="s">
        <v>2124</v>
      </c>
      <c r="AC112" s="664" t="s">
        <v>684</v>
      </c>
      <c r="AD112" s="67"/>
      <c r="AE112" s="67"/>
      <c r="AF112" s="365">
        <f>IF(AD112=0,0,(AE112-AD112)/AD112*100)</f>
        <v>0</v>
      </c>
      <c r="AG112" s="1710"/>
      <c r="AH112" s="1710"/>
      <c r="AI112" s="365">
        <f>IF(AG112=0,0,(AH112-AG112)/AG112*100)</f>
        <v>0</v>
      </c>
      <c r="AJ112" s="1710"/>
      <c r="AK112" s="1710"/>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2140</v>
      </c>
      <c r="GA112" s="1217"/>
      <c r="GB112" s="1217"/>
      <c r="GC112" s="1217"/>
      <c r="GD112" s="1217"/>
    </row>
    <row s="1642"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ТЭ.73.28136693.0002</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2085</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42" customFormat="1" customHeight="1" ht="15" hidden="1">
      <c r="A114" s="1437"/>
      <c r="B114" s="962" cm="1" t="str">
        <f t="array" ref="B114:B114">B113</f>
        <v>false</v>
      </c>
      <c r="C114" s="1323" t="s">
        <v>2132</v>
      </c>
      <c r="D114" s="1292" t="s">
        <v>2133</v>
      </c>
      <c r="E114" s="794">
        <v>15.8</v>
      </c>
      <c r="F114" s="920" cm="1" t="str">
        <f t="array" ref="F114:F114">OFFSET(G114,-1,-1)</f>
        <v>1</v>
      </c>
      <c r="G114" s="497"/>
      <c r="H114" s="210" t="s">
        <v>2104</v>
      </c>
      <c r="I114" s="210" t="s">
        <v>2084</v>
      </c>
      <c r="J114" s="1313"/>
      <c r="K114" s="1313" cm="1" t="str">
        <f t="array" ref="K114:K114">OFFSET(J114,-1,1)</f>
        <v>ТЭ.73.28136693.0002</v>
      </c>
      <c r="L114" s="1313"/>
      <c r="M114" s="1313" t="s">
        <v>1701</v>
      </c>
      <c r="N114" s="1313" t="s">
        <v>2080</v>
      </c>
      <c r="O114" s="1314" t="s">
        <v>2081</v>
      </c>
      <c r="P114" s="1313" t="s">
        <v>2105</v>
      </c>
      <c r="Q114" s="1313"/>
      <c r="R114" s="926"/>
      <c r="S114" s="497"/>
      <c r="T114" s="805" cm="1" t="str">
        <f t="array" ref="T114:T114">T113</f>
        <v>false</v>
      </c>
      <c r="U114" s="1437"/>
      <c r="V114" s="1437"/>
      <c r="W114" s="1437"/>
      <c r="X114" s="1437"/>
      <c r="Y114" s="1437"/>
      <c r="Z114" s="1437"/>
      <c r="AA114" s="497"/>
      <c r="AB114" s="273" t="s">
        <v>2106</v>
      </c>
      <c r="AC114" s="169" t="s">
        <v>889</v>
      </c>
      <c r="AD114" s="67">
        <f>IF(AD116=0,0,(AD115*AD116+AD117*AD118*IF(god=2026,3,6))/AD116)</f>
        <v>0</v>
      </c>
      <c r="AE114" s="67">
        <f>IF(AE116=0,0,(AE115*AE116+AE117*AE118*IF(god=2026,3,6))/AE116)</f>
        <v>0</v>
      </c>
      <c r="AF114" s="365">
        <f>IF(AD114=0,0,(AE114-AD114)/AD114*100)</f>
        <v>0</v>
      </c>
      <c r="AG114" s="1710">
        <f>IF(AG116=0,0,(AG115*AG116+AG117*AG118*IF(god=2025,3,6))/AG116)</f>
        <v>0</v>
      </c>
      <c r="AH114" s="1710">
        <f>IF(AH116=0,0,(AH115*AH116+AH117*AH118*IF(god=2025,3,6))/AH116)</f>
        <v>0</v>
      </c>
      <c r="AI114" s="365">
        <f>IF(AG114=0,0,(AH114-AG114)/AG114*100)</f>
        <v>0</v>
      </c>
      <c r="AJ114" s="1710">
        <f>IF(AJ116=0,0,(AJ115*AJ116+AJ117*AJ118*6)/AJ116)</f>
        <v>0</v>
      </c>
      <c r="AK114" s="1710">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2141</v>
      </c>
      <c r="GA114" s="1217"/>
      <c r="GB114" s="1217"/>
      <c r="GC114" s="1217"/>
      <c r="GD114" s="1217"/>
    </row>
    <row s="1642" customFormat="1" customHeight="1" ht="15" hidden="1">
      <c r="A115" s="1437"/>
      <c r="B115" s="962" cm="1" t="str">
        <f t="array" ref="B115:B115">B114</f>
        <v>false</v>
      </c>
      <c r="C115" s="1323" t="s">
        <v>2135</v>
      </c>
      <c r="D115" s="1292" t="s">
        <v>2136</v>
      </c>
      <c r="E115" s="794">
        <v>15.8</v>
      </c>
      <c r="F115" s="920" cm="1" t="str">
        <f t="array" ref="F115:F115">OFFSET(G115,-1,-1)</f>
        <v>1</v>
      </c>
      <c r="G115" s="497"/>
      <c r="H115" s="210" t="s">
        <v>2110</v>
      </c>
      <c r="I115" s="210" t="s">
        <v>2084</v>
      </c>
      <c r="J115" s="1313"/>
      <c r="K115" s="1313" cm="1" t="str">
        <f t="array" ref="K115:K115">OFFSET(J115,-1,1)</f>
        <v>ТЭ.73.28136693.0002</v>
      </c>
      <c r="L115" s="1313"/>
      <c r="M115" s="1313" t="s">
        <v>1701</v>
      </c>
      <c r="N115" s="1313" t="s">
        <v>2080</v>
      </c>
      <c r="O115" s="1314" t="s">
        <v>2081</v>
      </c>
      <c r="P115" s="1313" t="s">
        <v>2111</v>
      </c>
      <c r="Q115" s="1313"/>
      <c r="R115" s="926"/>
      <c r="S115" s="497"/>
      <c r="T115" s="805" cm="1" t="str">
        <f t="array" ref="T115:T115">T114</f>
        <v>false</v>
      </c>
      <c r="U115" s="1437"/>
      <c r="V115" s="1437"/>
      <c r="W115" s="1437"/>
      <c r="X115" s="1437"/>
      <c r="Y115" s="1437"/>
      <c r="Z115" s="1437"/>
      <c r="AA115" s="497"/>
      <c r="AB115" s="273" t="s">
        <v>2112</v>
      </c>
      <c r="AC115" s="169" t="s">
        <v>889</v>
      </c>
      <c r="AD115" s="67"/>
      <c r="AE115" s="67"/>
      <c r="AF115" s="365">
        <f>IF(AD115=0,0,(AE115-AD115)/AD115*100)</f>
        <v>0</v>
      </c>
      <c r="AG115" s="1710"/>
      <c r="AH115" s="1710"/>
      <c r="AI115" s="365">
        <f>IF(AG115=0,0,(AH115-AG115)/AG115*100)</f>
        <v>0</v>
      </c>
      <c r="AJ115" s="1710"/>
      <c r="AK115" s="1710"/>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2142</v>
      </c>
      <c r="GA115" s="1217"/>
      <c r="GB115" s="1217"/>
      <c r="GC115" s="1217"/>
      <c r="GD115" s="1217"/>
    </row>
    <row s="1642" customFormat="1" customHeight="1" ht="15" hidden="1">
      <c r="A116" s="1437"/>
      <c r="B116" s="962" cm="1" t="str">
        <f t="array" ref="B116:B116">B115</f>
        <v>false</v>
      </c>
      <c r="C116" s="1323" t="s">
        <v>1689</v>
      </c>
      <c r="D116" s="1292" t="s">
        <v>1690</v>
      </c>
      <c r="E116" s="794">
        <v>15.8</v>
      </c>
      <c r="F116" s="920" cm="1" t="str">
        <f t="array" ref="F116:F116">OFFSET(G116,-1,-1)</f>
        <v>1</v>
      </c>
      <c r="G116" s="497"/>
      <c r="H116" s="210" t="s">
        <v>2114</v>
      </c>
      <c r="I116" s="210" t="s">
        <v>2084</v>
      </c>
      <c r="J116" s="1313"/>
      <c r="K116" s="1313" cm="1" t="str">
        <f t="array" ref="K116:K116">OFFSET(J116,-1,1)</f>
        <v>ТЭ.73.28136693.0002</v>
      </c>
      <c r="L116" s="1313"/>
      <c r="M116" s="1313" t="s">
        <v>1701</v>
      </c>
      <c r="N116" s="1313" t="s">
        <v>2080</v>
      </c>
      <c r="O116" s="1314" t="s">
        <v>2081</v>
      </c>
      <c r="P116" s="1313" t="s">
        <v>2115</v>
      </c>
      <c r="Q116" s="1313"/>
      <c r="R116" s="926"/>
      <c r="S116" s="497"/>
      <c r="T116" s="805" cm="1" t="str">
        <f t="array" ref="T116:T116">T115</f>
        <v>false</v>
      </c>
      <c r="U116" s="1437"/>
      <c r="V116" s="1437"/>
      <c r="W116" s="1437"/>
      <c r="X116" s="1437"/>
      <c r="Y116" s="1437"/>
      <c r="Z116" s="1437"/>
      <c r="AA116" s="497"/>
      <c r="AB116" s="273" t="s">
        <v>2116</v>
      </c>
      <c r="AC116" s="169" t="s">
        <v>586</v>
      </c>
      <c r="AD116" s="147"/>
      <c r="AE116" s="147"/>
      <c r="AF116" s="397">
        <f>IF(AD116=0,0,(AE116-AD116)/AD116*100)</f>
        <v>0</v>
      </c>
      <c r="AG116" s="2063"/>
      <c r="AH116" s="2063"/>
      <c r="AI116" s="397">
        <f>IF(AG116=0,0,(AH116-AG116)/AG116*100)</f>
        <v>0</v>
      </c>
      <c r="AJ116" s="2063"/>
      <c r="AK116" s="2063"/>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2143</v>
      </c>
      <c r="GA116" s="1217"/>
      <c r="GB116" s="1217"/>
      <c r="GC116" s="1217"/>
      <c r="GD116" s="1217"/>
    </row>
    <row s="1642" customFormat="1" customHeight="1" ht="30" hidden="1">
      <c r="A117" s="1437"/>
      <c r="B117" s="962" cm="1" t="str">
        <f t="array" ref="B117:B117">B116</f>
        <v>false</v>
      </c>
      <c r="C117" s="1323" t="s">
        <v>1743</v>
      </c>
      <c r="D117" s="1292" t="s">
        <v>1744</v>
      </c>
      <c r="E117" s="794">
        <v>31.5</v>
      </c>
      <c r="F117" s="920" cm="1" t="str">
        <f t="array" ref="F117:F117">OFFSET(G117,-1,-1)</f>
        <v>1</v>
      </c>
      <c r="G117" s="497"/>
      <c r="H117" s="210" t="s">
        <v>2118</v>
      </c>
      <c r="I117" s="210" t="s">
        <v>2084</v>
      </c>
      <c r="J117" s="1313"/>
      <c r="K117" s="1313" cm="1" t="str">
        <f t="array" ref="K117:K117">OFFSET(J117,-1,1)</f>
        <v>ТЭ.73.28136693.0002</v>
      </c>
      <c r="L117" s="1313"/>
      <c r="M117" s="1313" t="s">
        <v>1701</v>
      </c>
      <c r="N117" s="1313" t="s">
        <v>2080</v>
      </c>
      <c r="O117" s="1314" t="s">
        <v>2081</v>
      </c>
      <c r="P117" s="1313" t="s">
        <v>2119</v>
      </c>
      <c r="Q117" s="1313"/>
      <c r="R117" s="926"/>
      <c r="S117" s="497"/>
      <c r="T117" s="805" cm="1" t="str">
        <f t="array" ref="T117:T117">T116</f>
        <v>false</v>
      </c>
      <c r="U117" s="1437"/>
      <c r="V117" s="1437"/>
      <c r="W117" s="1437"/>
      <c r="X117" s="1437"/>
      <c r="Y117" s="1437"/>
      <c r="Z117" s="1437"/>
      <c r="AA117" s="497"/>
      <c r="AB117" s="273" t="s">
        <v>2120</v>
      </c>
      <c r="AC117" s="517" t="s">
        <v>1747</v>
      </c>
      <c r="AD117" s="67"/>
      <c r="AE117" s="67"/>
      <c r="AF117" s="365">
        <f>IF(AD117=0,0,(AE117-AD117)/AD117*100)</f>
        <v>0</v>
      </c>
      <c r="AG117" s="1710"/>
      <c r="AH117" s="1710"/>
      <c r="AI117" s="365">
        <f>IF(AG117=0,0,(AH117-AG117)/AG117*100)</f>
        <v>0</v>
      </c>
      <c r="AJ117" s="1710"/>
      <c r="AK117" s="1710"/>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2144</v>
      </c>
      <c r="GA117" s="1217"/>
      <c r="GB117" s="1217"/>
      <c r="GC117" s="1217"/>
      <c r="GD117" s="1217"/>
    </row>
    <row s="1642" customFormat="1" customHeight="1" ht="15" hidden="1">
      <c r="A118" s="1437"/>
      <c r="B118" s="962" cm="1" t="str">
        <f t="array" ref="B118:B118">B117</f>
        <v>false</v>
      </c>
      <c r="C118" s="1323" t="s">
        <v>1715</v>
      </c>
      <c r="D118" s="1292" t="s">
        <v>1716</v>
      </c>
      <c r="E118" s="794">
        <v>15.8</v>
      </c>
      <c r="F118" s="920" cm="1" t="str">
        <f t="array" ref="F118:F118">OFFSET(G118,-1,-1)</f>
        <v>1</v>
      </c>
      <c r="G118" s="497"/>
      <c r="H118" s="210" t="s">
        <v>2122</v>
      </c>
      <c r="I118" s="210" t="s">
        <v>2084</v>
      </c>
      <c r="J118" s="1313"/>
      <c r="K118" s="1313" cm="1" t="str">
        <f t="array" ref="K118:K118">OFFSET(J118,-1,1)</f>
        <v>ТЭ.73.28136693.0002</v>
      </c>
      <c r="L118" s="1313"/>
      <c r="M118" s="1313" t="s">
        <v>1701</v>
      </c>
      <c r="N118" s="1313" t="s">
        <v>2080</v>
      </c>
      <c r="O118" s="1314" t="s">
        <v>2081</v>
      </c>
      <c r="P118" s="1313" t="s">
        <v>2123</v>
      </c>
      <c r="Q118" s="1313"/>
      <c r="R118" s="926"/>
      <c r="S118" s="497"/>
      <c r="T118" s="805" cm="1" t="str">
        <f t="array" ref="T118:T118">T117</f>
        <v>false</v>
      </c>
      <c r="U118" s="1437"/>
      <c r="V118" s="1437"/>
      <c r="W118" s="1437"/>
      <c r="X118" s="1437"/>
      <c r="Y118" s="1437"/>
      <c r="Z118" s="1437"/>
      <c r="AA118" s="497"/>
      <c r="AB118" s="273" t="s">
        <v>2124</v>
      </c>
      <c r="AC118" s="664" t="s">
        <v>684</v>
      </c>
      <c r="AD118" s="67"/>
      <c r="AE118" s="67"/>
      <c r="AF118" s="365">
        <f>IF(AD118=0,0,(AE118-AD118)/AD118*100)</f>
        <v>0</v>
      </c>
      <c r="AG118" s="1710"/>
      <c r="AH118" s="1710"/>
      <c r="AI118" s="365">
        <f>IF(AG118=0,0,(AH118-AG118)/AG118*100)</f>
        <v>0</v>
      </c>
      <c r="AJ118" s="1710"/>
      <c r="AK118" s="1710"/>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2145</v>
      </c>
      <c r="GA118" s="1217"/>
      <c r="GB118" s="1217"/>
      <c r="GC118" s="1217"/>
      <c r="GD118" s="1217"/>
    </row>
    <row s="1642"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237</v>
      </c>
      <c r="V120" s="168" t="s">
        <v>2146</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7" t="s">
        <v>694</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80"/>
      <c r="AH123" s="2080"/>
      <c r="AI123" s="2080"/>
      <c r="AJ123" s="2080"/>
      <c r="AK123" s="2080"/>
      <c r="AL123" s="2080"/>
      <c r="AM123" s="2080"/>
      <c r="AN123" s="2080"/>
      <c r="AO123" s="2080"/>
      <c r="AP123" s="2080"/>
      <c r="AQ123" s="2080"/>
      <c r="AR123" s="2080"/>
      <c r="AS123" s="2080"/>
      <c r="AT123" s="2080"/>
      <c r="AU123" s="2080"/>
      <c r="AV123" s="2080"/>
      <c r="AW123" s="2080"/>
      <c r="AX123" s="2080"/>
      <c r="AY123" s="2080"/>
      <c r="AZ123" s="2080"/>
      <c r="BA123" s="2080"/>
      <c r="BB123" s="2080"/>
      <c r="BC123" s="2080"/>
      <c r="BD123" s="2080"/>
      <c r="BE123" s="2080"/>
      <c r="BF123" s="2080"/>
      <c r="BG123" s="2080"/>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235</v>
      </c>
      <c r="X124" s="1437"/>
      <c r="Y124" s="1437"/>
      <c r="Z124" s="1437"/>
      <c r="AA124" s="915" t="s">
        <v>219</v>
      </c>
      <c r="AB124" s="2080"/>
      <c r="AC124" s="2080"/>
      <c r="AD124" s="2080"/>
      <c r="AE124" s="2080"/>
      <c r="AF124" s="2080"/>
      <c r="AG124" s="2080"/>
      <c r="AH124" s="2080"/>
      <c r="AI124" s="2080"/>
      <c r="AJ124" s="2080"/>
      <c r="AK124" s="2080"/>
      <c r="AL124" s="2080"/>
      <c r="AM124" s="2080"/>
      <c r="AN124" s="2080"/>
      <c r="AO124" s="2080"/>
      <c r="AP124" s="2080"/>
      <c r="AQ124" s="2080"/>
      <c r="AR124" s="2080"/>
      <c r="AS124" s="2080"/>
      <c r="AT124" s="2080"/>
      <c r="AU124" s="2080"/>
      <c r="AV124" s="2080"/>
      <c r="AW124" s="2080"/>
      <c r="AX124" s="2080"/>
      <c r="AY124" s="2080"/>
      <c r="AZ124" s="2080"/>
      <c r="BA124" s="2080"/>
      <c r="BB124" s="2080"/>
      <c r="BC124" s="2080"/>
      <c r="BD124" s="2080"/>
      <c r="BE124" s="2080"/>
      <c r="BF124" s="2080"/>
      <c r="BG124" s="2080"/>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236</v>
      </c>
      <c r="AB125" s="1453" t="s">
        <v>695</v>
      </c>
      <c r="AC125" s="1454"/>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DAA4E-1518-B4D8-7897-881049CF251B}"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I81" sqref="AI81:AI85"/>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371</v>
      </c>
      <c r="Z1" s="805" t="s">
        <v>93</v>
      </c>
      <c r="AA1" s="816" t="s">
        <v>90</v>
      </c>
      <c r="AB1" s="816" t="s">
        <v>92</v>
      </c>
      <c r="AK1" s="951"/>
      <c r="AN1" s="1160" t="s">
        <v>424</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1170</v>
      </c>
      <c r="AD6" s="172" t="s">
        <v>2147</v>
      </c>
      <c r="AE6" s="172" t="s">
        <v>431</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372</v>
      </c>
      <c r="B9" s="1152"/>
      <c r="E9" s="1152"/>
      <c r="Q9" s="1161"/>
      <c r="R9" s="1161"/>
      <c r="AC9" s="1160" t="s">
        <v>2148</v>
      </c>
      <c r="AD9" s="1160" t="s">
        <v>2149</v>
      </c>
      <c r="AE9" s="1160" t="s">
        <v>2150</v>
      </c>
      <c r="AF9" s="1160" t="s">
        <v>2151</v>
      </c>
      <c r="AG9" s="1160" t="s">
        <v>2152</v>
      </c>
      <c r="AH9" s="1160" t="s">
        <v>2153</v>
      </c>
      <c r="AI9" s="1160" t="s">
        <v>2154</v>
      </c>
      <c r="AJ9" s="1160" t="s">
        <v>2155</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201</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Ульяновская область / 2026 / ООО "НИИАР-ГЕНЕРАЦИЯ" (ИНН:7329008990, КПП:732901001)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0" t="s">
        <v>119</v>
      </c>
      <c r="AC26" s="1535" t="s">
        <v>2156</v>
      </c>
      <c r="AD26" s="1535" t="s">
        <v>2157</v>
      </c>
      <c r="AE26" s="1535" t="s">
        <v>2158</v>
      </c>
      <c r="AF26" s="1554" t="s">
        <v>2159</v>
      </c>
      <c r="AG26" s="1555"/>
      <c r="AH26" s="1555"/>
      <c r="AI26" s="1556"/>
      <c r="AJ26" s="1440" t="s">
        <v>2160</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0"/>
      <c r="AC27" s="1440"/>
      <c r="AD27" s="1440"/>
      <c r="AE27" s="1440"/>
      <c r="AF27" s="558" t="s">
        <v>2161</v>
      </c>
      <c r="AG27" s="558" t="s">
        <v>2162</v>
      </c>
      <c r="AH27" s="558" t="s">
        <v>2163</v>
      </c>
      <c r="AI27" s="558" t="s">
        <v>2164</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311</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1259</v>
      </c>
      <c r="H30" s="225" cm="1" t="str">
        <f t="array" ref="H30:H30">first_year</f>
        <v>2024</v>
      </c>
      <c r="T30" s="805" cm="1" t="str">
        <f t="array" ref="T30:T30">T29</f>
        <v>false</v>
      </c>
      <c r="AB30" s="330" t="str">
        <f>H30&amp;" год"</f>
        <v>2024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922"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337</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5"/>
    </row>
    <row s="2087" customFormat="1" customHeight="1" ht="16.5">
      <c r="A81" s="227"/>
      <c r="B81" s="953">
        <f>H81&lt;first_year+PERIOD_LENGTH</f>
        <v>1</v>
      </c>
      <c r="C81" s="227"/>
      <c r="D81" s="227"/>
      <c r="E81" s="794">
        <v>17.1</v>
      </c>
      <c r="F81" s="945" cm="1" t="str">
        <f t="array" ref="F81:F81">F80</f>
        <v>1</v>
      </c>
      <c r="G81" s="190" t="s">
        <v>1259</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088" t="str">
        <f>IF(god=first_year,_xlfn.SUMIFS('Калькуляция (5.9)'!AT$26:AT$138,'Калькуляция (5.9)'!$F$26:$F$138,$F81,'Калькуляция (5.9)'!$G$26:$G$138,$G81),"")</f>
        <v/>
      </c>
      <c r="AD81" s="1725">
        <v>1</v>
      </c>
      <c r="AE81" s="2089"/>
      <c r="AF81" s="2088"/>
      <c r="AG81" s="2088"/>
      <c r="AH81" s="2089">
        <v>21.62</v>
      </c>
      <c r="AI81" s="2088">
        <v>91362.34</v>
      </c>
      <c r="AJ81" s="2088"/>
      <c r="AK81" s="150"/>
      <c r="AL81" s="227"/>
      <c r="AM81" s="227"/>
      <c r="AN81" s="1232" cm="1" t="str">
        <f t="array" ref="AN81:AN81">H81</f>
        <v>2024</v>
      </c>
    </row>
    <row s="2090"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25">
        <v>1</v>
      </c>
      <c r="AE82" s="2089"/>
      <c r="AF82" s="2088"/>
      <c r="AG82" s="2088"/>
      <c r="AH82" s="2089">
        <v>21.62</v>
      </c>
      <c r="AI82" s="2088">
        <v>91362.34</v>
      </c>
      <c r="AJ82" s="2088"/>
      <c r="AK82" s="150"/>
      <c r="AL82" s="227"/>
      <c r="AM82" s="227"/>
      <c r="AN82" s="1232" cm="1" t="str">
        <f t="array" ref="AN82:AN82">H82</f>
        <v>2025</v>
      </c>
    </row>
    <row s="2091"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25">
        <f>_xlfn.IFERROR(_xlfn.SUMIFS(INDEX('Операционные (5.2)'!$AT$26:$BC$45,,MATCH($H83,'Операционные (5.2)'!$AT$6:$BC$6,0)),'Операционные (5.2)'!$F$26:$F$45,$F83,'Операционные (5.2)'!$G$26:$G$45,"ИОР"),0)</f>
        <v>1</v>
      </c>
      <c r="AE83" s="2089"/>
      <c r="AF83" s="2088"/>
      <c r="AG83" s="2088"/>
      <c r="AH83" s="2089">
        <v>21.62</v>
      </c>
      <c r="AI83" s="2088">
        <v>91362.34</v>
      </c>
      <c r="AJ83" s="2088"/>
      <c r="AK83" s="150"/>
      <c r="AL83" s="227"/>
      <c r="AM83" s="227"/>
      <c r="AN83" s="1232" cm="1" t="str">
        <f t="array" ref="AN83:AN83">H83</f>
        <v>2026</v>
      </c>
    </row>
    <row s="2092"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25">
        <f>_xlfn.IFERROR(_xlfn.SUMIFS(INDEX('Операционные (5.2)'!$AT$26:$BC$45,,MATCH($H84,'Операционные (5.2)'!$AT$6:$BC$6,0)),'Операционные (5.2)'!$F$26:$F$45,$F84,'Операционные (5.2)'!$G$26:$G$45,"ИОР"),0)</f>
        <v>1</v>
      </c>
      <c r="AE84" s="2089"/>
      <c r="AF84" s="2088"/>
      <c r="AG84" s="2088"/>
      <c r="AH84" s="2089">
        <v>21.62</v>
      </c>
      <c r="AI84" s="2088">
        <v>91362.34</v>
      </c>
      <c r="AJ84" s="2088"/>
      <c r="AK84" s="150"/>
      <c r="AL84" s="227"/>
      <c r="AM84" s="227"/>
      <c r="AN84" s="1232" cm="1" t="str">
        <f t="array" ref="AN84:AN84">H84</f>
        <v>2027</v>
      </c>
    </row>
    <row s="2093"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25">
        <f>_xlfn.IFERROR(_xlfn.SUMIFS(INDEX('Операционные (5.2)'!$AT$26:$BC$45,,MATCH($H85,'Операционные (5.2)'!$AT$6:$BC$6,0)),'Операционные (5.2)'!$F$26:$F$45,$F85,'Операционные (5.2)'!$G$26:$G$45,"ИОР"),0)</f>
        <v>1</v>
      </c>
      <c r="AE85" s="2089"/>
      <c r="AF85" s="2088"/>
      <c r="AG85" s="2088"/>
      <c r="AH85" s="2089">
        <v>21.62</v>
      </c>
      <c r="AI85" s="2088">
        <v>91362.34</v>
      </c>
      <c r="AJ85" s="2088"/>
      <c r="AK85" s="150"/>
      <c r="AL85" s="227"/>
      <c r="AM85" s="227"/>
      <c r="AN85" s="1232" cm="1" t="str">
        <f t="array" ref="AN85:AN85">H85</f>
        <v>2028</v>
      </c>
    </row>
    <row s="2094"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095"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096"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097"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098"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099"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100"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101"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102"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103"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104"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105"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106"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107"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108"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109"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110"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111"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112"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113"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114"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115"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116"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117"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118"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119"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120"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121"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122"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123"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124"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125"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126"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127"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128"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129"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30"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31"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32"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33"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34"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35"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36"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37"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38"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237</v>
      </c>
      <c r="V131" s="168" t="s">
        <v>2165</v>
      </c>
    </row>
    <row customHeight="1" ht="14.625">
      <c r="E132" s="794">
        <v>15</v>
      </c>
      <c r="AB132" s="1455" t="s">
        <v>694</v>
      </c>
      <c r="AC132" s="1455"/>
      <c r="AD132" s="1455"/>
      <c r="AE132" s="1455"/>
      <c r="AF132" s="1455"/>
      <c r="AG132" s="1455"/>
      <c r="AH132" s="1455"/>
      <c r="AI132" s="1455"/>
      <c r="AJ132" s="1455"/>
      <c r="AK132" s="1455"/>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235</v>
      </c>
      <c r="X134" s="1437"/>
      <c r="Y134" s="1437"/>
      <c r="Z134" s="1437"/>
      <c r="AA134" s="915" t="s">
        <v>219</v>
      </c>
      <c r="AB134" s="2139"/>
      <c r="AC134" s="2139"/>
      <c r="AD134" s="2139"/>
      <c r="AE134" s="2139"/>
      <c r="AF134" s="2139"/>
      <c r="AG134" s="2139"/>
      <c r="AH134" s="2139"/>
      <c r="AI134" s="2139"/>
      <c r="AJ134" s="2139"/>
      <c r="AK134" s="2139"/>
      <c r="AL134" s="497"/>
      <c r="AM134" s="497"/>
      <c r="AN134" s="1215"/>
    </row>
    <row customHeight="1" ht="14.625">
      <c r="E135" s="794">
        <v>15</v>
      </c>
      <c r="W135" s="168" t="s">
        <v>236</v>
      </c>
      <c r="AB135" s="1453" t="s">
        <v>695</v>
      </c>
      <c r="AC135" s="1454"/>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40068-14F9-A4A8-71C1-E8C7FC2E486F}"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21" style="1498" width="3.57421875" hidden="1" customWidth="1"/>
    <col min="22" max="22" style="1498" width="6.00390625" hidden="1" customWidth="1"/>
    <col min="23" max="23" style="1498" width="3.57421875" hidden="1" customWidth="1"/>
    <col min="24" max="25" style="1498" width="6.28125" hidden="1" customWidth="1"/>
    <col min="26" max="26" style="1498" width="5.7109375" hidden="1" customWidth="1"/>
    <col min="27" max="27" style="935" width="3.00390625" customWidth="1"/>
    <col min="28" max="28" style="935" width="94.25390625" customWidth="1"/>
    <col min="29" max="29" style="935" width="3.00390625" customWidth="1"/>
  </cols>
  <sheetData>
    <row s="1498" customFormat="1" customHeight="1" ht="12" hidden="1">
      <c r="B1" s="785"/>
      <c r="E1" s="785"/>
      <c r="W1" s="785"/>
      <c r="X1" s="805" t="s">
        <v>86</v>
      </c>
      <c r="Y1" s="805" t="s">
        <v>87</v>
      </c>
      <c r="Z1" s="805" t="s">
        <v>89</v>
      </c>
      <c r="AA1" s="805" t="s">
        <v>93</v>
      </c>
      <c r="AB1" s="805" t="s">
        <v>91</v>
      </c>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94.25</v>
      </c>
      <c r="AC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customHeight="1" ht="11.115">
      <c r="E21" s="794">
        <v>11.4</v>
      </c>
      <c r="AA21" s="817"/>
      <c r="AB21" s="185"/>
    </row>
    <row customHeight="1" ht="19.5975">
      <c r="E22" s="794">
        <v>20.1</v>
      </c>
      <c r="AA22" s="185"/>
      <c r="AB22" s="183" t="s">
        <v>429</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98"/>
      <c r="B34" s="925"/>
      <c r="C34" s="1498"/>
      <c r="D34" s="1498"/>
      <c r="E34" s="794">
        <v>20.1</v>
      </c>
      <c r="F34" s="1498"/>
      <c r="G34" s="1498"/>
      <c r="H34" s="1498"/>
      <c r="I34" s="1498"/>
      <c r="J34" s="1498"/>
      <c r="K34" s="1498"/>
      <c r="L34" s="1498"/>
      <c r="M34" s="1498"/>
      <c r="N34" s="1498"/>
      <c r="O34" s="1498"/>
      <c r="P34" s="1498"/>
      <c r="Q34" s="1498"/>
      <c r="R34" s="1498"/>
      <c r="S34" s="1498"/>
      <c r="T34" s="1498"/>
      <c r="U34" s="1498"/>
      <c r="V34" s="172"/>
      <c r="W34" s="172"/>
      <c r="X34" s="805">
        <f>Z34&gt;0</f>
        <v>0</v>
      </c>
      <c r="Y34" s="176" t="s">
        <v>311</v>
      </c>
      <c r="Z34" s="172">
        <v>0</v>
      </c>
      <c r="AA34" s="915" t="s">
        <v>219</v>
      </c>
      <c r="AB34" s="2140"/>
      <c r="AC34" s="935"/>
    </row>
    <row customHeight="1" ht="11.115">
      <c r="E35" s="794">
        <v>11.4</v>
      </c>
      <c r="Y35" s="168" t="s">
        <v>236</v>
      </c>
      <c r="AB35" s="899" t="s">
        <v>237</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37EC8-E4A8-6FDE-3818-E6849414347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2166</v>
      </c>
      <c r="B1" s="234" t="s">
        <v>2167</v>
      </c>
      <c r="C1" s="233" t="s">
        <v>2166</v>
      </c>
      <c r="D1" s="775" t="s">
        <v>2168</v>
      </c>
      <c r="E1" s="233"/>
      <c r="F1" s="233"/>
      <c r="G1" s="235" t="s">
        <v>2169</v>
      </c>
      <c r="H1" s="233"/>
      <c r="I1" s="233"/>
      <c r="J1" s="233"/>
      <c r="K1" s="235" t="s">
        <v>2170</v>
      </c>
      <c r="L1" s="187"/>
      <c r="M1" s="235" t="s">
        <v>2171</v>
      </c>
      <c r="N1" s="233"/>
      <c r="O1" s="187"/>
      <c r="P1" s="235" t="s">
        <v>2172</v>
      </c>
      <c r="Q1" s="235" t="s">
        <v>2173</v>
      </c>
      <c r="R1" s="235" t="s">
        <v>2174</v>
      </c>
      <c r="S1" s="235" t="s">
        <v>2175</v>
      </c>
      <c r="T1" s="235" t="s">
        <v>2176</v>
      </c>
      <c r="U1" s="235" t="s">
        <v>2177</v>
      </c>
      <c r="V1" s="250" t="s">
        <v>2178</v>
      </c>
      <c r="W1" s="250" t="s">
        <v>2179</v>
      </c>
      <c r="X1" s="250" t="s">
        <v>2180</v>
      </c>
      <c r="Y1" s="250" t="s">
        <v>2181</v>
      </c>
      <c r="Z1" s="250" t="s">
        <v>2182</v>
      </c>
      <c r="AB1" s="250" t="s">
        <v>2183</v>
      </c>
      <c r="AC1" s="250" t="s">
        <v>2184</v>
      </c>
    </row>
    <row customHeight="1" ht="12">
      <c r="A2" s="233" t="s">
        <v>2185</v>
      </c>
      <c r="B2" s="234" t="s">
        <v>2186</v>
      </c>
      <c r="C2" s="233" t="s">
        <v>2185</v>
      </c>
      <c r="D2" s="774" t="s">
        <v>2187</v>
      </c>
      <c r="E2" s="233"/>
      <c r="F2" s="233"/>
      <c r="G2" s="237" t="s">
        <v>200</v>
      </c>
      <c r="H2" s="233"/>
      <c r="I2" s="233"/>
      <c r="J2" s="233"/>
      <c r="K2" s="823" t="s">
        <v>117</v>
      </c>
      <c r="L2" s="233"/>
      <c r="M2" s="238" t="s">
        <v>2188</v>
      </c>
      <c r="N2" s="233"/>
      <c r="O2" s="233"/>
      <c r="P2" s="237">
        <v>2025</v>
      </c>
      <c r="Q2" s="237">
        <v>2012</v>
      </c>
      <c r="R2" s="237" t="s">
        <v>2189</v>
      </c>
      <c r="S2" s="237">
        <v>3</v>
      </c>
      <c r="T2" s="249" t="s">
        <v>2190</v>
      </c>
      <c r="U2" s="249" t="s">
        <v>340</v>
      </c>
      <c r="V2" s="259" t="s">
        <v>2191</v>
      </c>
      <c r="W2" s="259" t="s">
        <v>2192</v>
      </c>
      <c r="X2" s="259" t="s">
        <v>419</v>
      </c>
      <c r="Y2" s="259" t="s">
        <v>2193</v>
      </c>
      <c r="Z2" s="259" t="s">
        <v>2193</v>
      </c>
      <c r="AB2" s="868" t="s">
        <v>2194</v>
      </c>
      <c r="AC2" s="869" t="s">
        <v>2195</v>
      </c>
    </row>
    <row customHeight="1" ht="12">
      <c r="A3" s="233" t="s">
        <v>2196</v>
      </c>
      <c r="B3" s="234" t="s">
        <v>2197</v>
      </c>
      <c r="C3" s="233" t="s">
        <v>2196</v>
      </c>
      <c r="D3" s="233"/>
      <c r="E3" s="233"/>
      <c r="F3" s="233"/>
      <c r="G3" s="237" t="s">
        <v>190</v>
      </c>
      <c r="H3" s="233"/>
      <c r="I3" s="233"/>
      <c r="J3" s="233"/>
      <c r="K3" s="823" t="s">
        <v>2198</v>
      </c>
      <c r="L3" s="233"/>
      <c r="M3" s="233"/>
      <c r="N3" s="233"/>
      <c r="O3" s="233"/>
      <c r="P3" s="237">
        <v>2026</v>
      </c>
      <c r="Q3" s="237">
        <v>2013</v>
      </c>
      <c r="R3" s="237" t="s">
        <v>2199</v>
      </c>
      <c r="S3" s="237">
        <v>4</v>
      </c>
      <c r="T3" s="249" t="s">
        <v>2200</v>
      </c>
      <c r="U3" s="249" t="s">
        <v>931</v>
      </c>
      <c r="V3" s="259" t="s">
        <v>2201</v>
      </c>
      <c r="W3" s="259" t="s">
        <v>2202</v>
      </c>
      <c r="X3" s="259" t="s">
        <v>2203</v>
      </c>
      <c r="Y3" s="259" t="s">
        <v>2204</v>
      </c>
      <c r="Z3" s="259" t="s">
        <v>2205</v>
      </c>
      <c r="AB3" s="868" t="s">
        <v>2206</v>
      </c>
      <c r="AC3" s="869" t="s">
        <v>2195</v>
      </c>
    </row>
    <row customHeight="1" ht="12">
      <c r="A4" s="233" t="s">
        <v>2207</v>
      </c>
      <c r="B4" s="234" t="s">
        <v>2208</v>
      </c>
      <c r="C4" s="233" t="s">
        <v>2207</v>
      </c>
      <c r="D4" s="233"/>
      <c r="E4" s="233"/>
      <c r="F4" s="233"/>
      <c r="G4" s="233"/>
      <c r="H4" s="233"/>
      <c r="I4" s="233"/>
      <c r="J4" s="233"/>
      <c r="K4" s="823" t="s">
        <v>2209</v>
      </c>
      <c r="L4" s="233"/>
      <c r="M4" s="235" t="s">
        <v>2210</v>
      </c>
      <c r="N4" s="233"/>
      <c r="O4" s="233"/>
      <c r="P4" s="233"/>
      <c r="Q4" s="237">
        <v>2014</v>
      </c>
      <c r="R4" s="237" t="s">
        <v>2211</v>
      </c>
      <c r="S4" s="237">
        <v>5</v>
      </c>
      <c r="V4" s="259" t="s">
        <v>2212</v>
      </c>
      <c r="X4" s="259" t="s">
        <v>2213</v>
      </c>
      <c r="Y4" s="597" t="s">
        <v>2205</v>
      </c>
      <c r="Z4" s="259" t="s">
        <v>2214</v>
      </c>
      <c r="AB4" s="868" t="s">
        <v>2215</v>
      </c>
      <c r="AC4" s="869" t="s">
        <v>2195</v>
      </c>
    </row>
    <row customHeight="1" ht="12">
      <c r="A5" s="233" t="s">
        <v>2216</v>
      </c>
      <c r="B5" s="234" t="s">
        <v>2217</v>
      </c>
      <c r="C5" s="233" t="s">
        <v>2216</v>
      </c>
      <c r="D5" s="233"/>
      <c r="E5" s="233"/>
      <c r="F5" s="233"/>
      <c r="G5" s="235" t="s">
        <v>2218</v>
      </c>
      <c r="H5" s="233"/>
      <c r="I5" s="233"/>
      <c r="J5" s="233"/>
      <c r="K5" s="823" t="s">
        <v>2219</v>
      </c>
      <c r="L5" s="233"/>
      <c r="M5" s="238">
        <v>1.2</v>
      </c>
      <c r="N5" s="233"/>
      <c r="O5" s="233"/>
      <c r="P5" s="233"/>
      <c r="Q5" s="237">
        <v>2015</v>
      </c>
      <c r="R5" s="237" t="s">
        <v>2220</v>
      </c>
      <c r="S5" s="237">
        <v>6</v>
      </c>
      <c r="V5" s="250" t="s">
        <v>2221</v>
      </c>
      <c r="W5" s="250" t="s">
        <v>2222</v>
      </c>
      <c r="X5" s="259" t="s">
        <v>2223</v>
      </c>
      <c r="Y5" s="259" t="s">
        <v>2214</v>
      </c>
      <c r="Z5" s="259" t="s">
        <v>2224</v>
      </c>
      <c r="AB5" s="868" t="s">
        <v>2225</v>
      </c>
      <c r="AC5" s="869" t="s">
        <v>2195</v>
      </c>
    </row>
    <row customHeight="1" ht="12">
      <c r="A6" s="233" t="s">
        <v>2226</v>
      </c>
      <c r="B6" s="234" t="s">
        <v>2227</v>
      </c>
      <c r="C6" s="233" t="s">
        <v>2226</v>
      </c>
      <c r="D6" s="233"/>
      <c r="E6" s="233"/>
      <c r="F6" s="233"/>
      <c r="G6" s="235" t="s">
        <v>2228</v>
      </c>
      <c r="H6" s="233"/>
      <c r="I6" s="233"/>
      <c r="J6" s="233"/>
      <c r="K6" s="233"/>
      <c r="L6" s="233"/>
      <c r="M6" s="233"/>
      <c r="N6" s="233"/>
      <c r="O6" s="233"/>
      <c r="P6" s="233"/>
      <c r="Q6" s="237">
        <v>2016</v>
      </c>
      <c r="R6" s="237" t="s">
        <v>2229</v>
      </c>
      <c r="S6" s="237">
        <v>7</v>
      </c>
      <c r="V6" s="259" t="s">
        <v>2230</v>
      </c>
      <c r="W6" s="335" t="s">
        <v>2231</v>
      </c>
      <c r="X6" s="259" t="s">
        <v>2232</v>
      </c>
      <c r="Y6" s="259" t="s">
        <v>2224</v>
      </c>
      <c r="Z6" s="259" t="s">
        <v>2233</v>
      </c>
      <c r="AB6" s="868" t="s">
        <v>2234</v>
      </c>
      <c r="AC6" s="869" t="s">
        <v>2195</v>
      </c>
    </row>
    <row customHeight="1" ht="12">
      <c r="A7" s="233" t="s">
        <v>2235</v>
      </c>
      <c r="B7" s="234" t="s">
        <v>2236</v>
      </c>
      <c r="C7" s="233" t="s">
        <v>2235</v>
      </c>
      <c r="D7" s="233"/>
      <c r="E7" s="233"/>
      <c r="F7" s="233"/>
      <c r="G7" s="239" t="s">
        <v>2237</v>
      </c>
      <c r="H7" s="233"/>
      <c r="I7" s="233"/>
      <c r="J7" s="233"/>
      <c r="K7" s="235" t="s">
        <v>2238</v>
      </c>
      <c r="L7" s="233"/>
      <c r="M7" s="235" t="s">
        <v>2239</v>
      </c>
      <c r="N7" s="233"/>
      <c r="O7" s="233"/>
      <c r="P7" s="233"/>
      <c r="Q7" s="237">
        <v>2017</v>
      </c>
      <c r="R7" s="237" t="s">
        <v>2240</v>
      </c>
      <c r="S7" s="237">
        <v>8</v>
      </c>
      <c r="V7" s="259" t="s">
        <v>2241</v>
      </c>
      <c r="X7" s="259" t="s">
        <v>2242</v>
      </c>
      <c r="Y7" s="259" t="s">
        <v>2233</v>
      </c>
      <c r="Z7" s="259" t="s">
        <v>2243</v>
      </c>
      <c r="AB7" s="868" t="s">
        <v>2244</v>
      </c>
      <c r="AC7" s="869" t="s">
        <v>2195</v>
      </c>
    </row>
    <row customHeight="1" ht="12">
      <c r="A8" s="233" t="s">
        <v>2245</v>
      </c>
      <c r="B8" s="234" t="s">
        <v>2246</v>
      </c>
      <c r="C8" s="233" t="s">
        <v>2245</v>
      </c>
      <c r="D8" s="233"/>
      <c r="E8" s="233"/>
      <c r="F8" s="233"/>
      <c r="G8" s="239" t="s">
        <v>2247</v>
      </c>
      <c r="H8" s="233"/>
      <c r="I8" s="233"/>
      <c r="J8" s="233"/>
      <c r="K8" s="822" t="s">
        <v>204</v>
      </c>
      <c r="L8" s="233"/>
      <c r="M8" s="238">
        <v>2021</v>
      </c>
      <c r="N8" s="233"/>
      <c r="O8" s="233"/>
      <c r="P8" s="233"/>
      <c r="Q8" s="237">
        <v>2018</v>
      </c>
      <c r="R8" s="237" t="s">
        <v>2248</v>
      </c>
      <c r="S8" s="237">
        <v>9</v>
      </c>
      <c r="V8" s="259" t="s">
        <v>2249</v>
      </c>
      <c r="X8" s="259" t="s">
        <v>2250</v>
      </c>
      <c r="Y8" s="259" t="s">
        <v>2243</v>
      </c>
      <c r="Z8" s="259" t="s">
        <v>2251</v>
      </c>
      <c r="AB8" s="868" t="s">
        <v>2252</v>
      </c>
      <c r="AC8" s="869" t="s">
        <v>2195</v>
      </c>
    </row>
    <row customHeight="1" ht="12">
      <c r="A9" s="233" t="s">
        <v>2253</v>
      </c>
      <c r="B9" s="234" t="s">
        <v>2254</v>
      </c>
      <c r="C9" s="233" t="s">
        <v>2253</v>
      </c>
      <c r="D9" s="233"/>
      <c r="E9" s="233"/>
      <c r="F9" s="233"/>
      <c r="G9" s="239" t="s">
        <v>2255</v>
      </c>
      <c r="H9" s="233"/>
      <c r="I9" s="233"/>
      <c r="J9" s="233"/>
      <c r="K9" s="822" t="s">
        <v>2256</v>
      </c>
      <c r="L9" s="233"/>
      <c r="M9" s="233"/>
      <c r="N9" s="233"/>
      <c r="O9" s="233"/>
      <c r="P9" s="233"/>
      <c r="Q9" s="237">
        <v>2019</v>
      </c>
      <c r="R9" s="237" t="s">
        <v>2257</v>
      </c>
      <c r="S9" s="237">
        <v>10</v>
      </c>
      <c r="V9" s="259" t="s">
        <v>2258</v>
      </c>
      <c r="X9" s="259" t="s">
        <v>2259</v>
      </c>
      <c r="AB9" s="868" t="s">
        <v>2260</v>
      </c>
      <c r="AC9" s="869" t="s">
        <v>2195</v>
      </c>
    </row>
    <row customHeight="1" ht="12">
      <c r="A10" s="233" t="s">
        <v>2261</v>
      </c>
      <c r="B10" s="234" t="s">
        <v>2262</v>
      </c>
      <c r="C10" s="233" t="s">
        <v>2261</v>
      </c>
      <c r="D10" s="233"/>
      <c r="E10" s="233"/>
      <c r="F10" s="233"/>
      <c r="G10" s="241"/>
      <c r="H10" s="233"/>
      <c r="I10" s="233"/>
      <c r="J10" s="233"/>
      <c r="K10" s="233"/>
      <c r="L10" s="233"/>
      <c r="M10" s="235" t="s">
        <v>2263</v>
      </c>
      <c r="N10" s="233"/>
      <c r="O10" s="233"/>
      <c r="P10" s="233"/>
      <c r="Q10" s="237">
        <v>2020</v>
      </c>
      <c r="R10" s="237" t="s">
        <v>2264</v>
      </c>
      <c r="S10" s="237">
        <v>11</v>
      </c>
      <c r="V10" s="259" t="s">
        <v>2265</v>
      </c>
      <c r="X10" s="259" t="s">
        <v>2266</v>
      </c>
      <c r="AB10" s="868" t="s">
        <v>2267</v>
      </c>
      <c r="AC10" s="869" t="s">
        <v>2195</v>
      </c>
    </row>
    <row customHeight="1" ht="12">
      <c r="A11" s="333" t="s">
        <v>2268</v>
      </c>
      <c r="B11" s="234" t="s">
        <v>2269</v>
      </c>
      <c r="C11" s="240" t="s">
        <v>2270</v>
      </c>
      <c r="D11" s="233"/>
      <c r="E11" s="233"/>
      <c r="F11" s="233"/>
      <c r="G11" s="235" t="s">
        <v>2271</v>
      </c>
      <c r="H11" s="233"/>
      <c r="I11" s="233"/>
      <c r="J11" s="233"/>
      <c r="K11" s="235" t="s">
        <v>2272</v>
      </c>
      <c r="L11" s="233"/>
      <c r="M11" s="238" t="str">
        <f>"01.01."&amp;PERIOD</f>
        <v>01.01.2021</v>
      </c>
      <c r="N11" s="233"/>
      <c r="O11" s="233"/>
      <c r="P11" s="233"/>
      <c r="Q11" s="237">
        <v>2021</v>
      </c>
      <c r="R11" s="237" t="s">
        <v>2273</v>
      </c>
      <c r="S11" s="237">
        <v>12</v>
      </c>
      <c r="V11" s="259" t="s">
        <v>2274</v>
      </c>
      <c r="X11" s="259" t="s">
        <v>2275</v>
      </c>
      <c r="AB11" s="868" t="s">
        <v>2276</v>
      </c>
      <c r="AC11" s="869" t="s">
        <v>2195</v>
      </c>
    </row>
    <row customHeight="1" ht="12">
      <c r="A12" s="333" t="s">
        <v>2277</v>
      </c>
      <c r="B12" s="234" t="s">
        <v>2278</v>
      </c>
      <c r="C12" s="240"/>
      <c r="D12" s="233"/>
      <c r="E12" s="233"/>
      <c r="F12" s="233"/>
      <c r="G12" s="235" t="s">
        <v>2279</v>
      </c>
      <c r="H12" s="233"/>
      <c r="I12" s="233"/>
      <c r="J12" s="233"/>
      <c r="K12" s="831" t="s">
        <v>2280</v>
      </c>
      <c r="L12" s="233"/>
      <c r="M12" s="238" t="str">
        <f>"31.12."&amp;PERIOD</f>
        <v>31.12.2021</v>
      </c>
      <c r="N12" s="233"/>
      <c r="O12" s="233"/>
      <c r="P12" s="233"/>
      <c r="Q12" s="237">
        <v>2022</v>
      </c>
      <c r="R12" s="237" t="s">
        <v>2281</v>
      </c>
      <c r="S12" s="237">
        <v>13</v>
      </c>
      <c r="X12" s="259" t="s">
        <v>2282</v>
      </c>
      <c r="AB12" s="868" t="s">
        <v>2283</v>
      </c>
      <c r="AC12" s="869" t="s">
        <v>2195</v>
      </c>
    </row>
    <row customHeight="1" ht="12">
      <c r="A13" s="333" t="s">
        <v>2284</v>
      </c>
      <c r="B13" s="234" t="s">
        <v>2285</v>
      </c>
      <c r="C13" s="240" t="s">
        <v>2286</v>
      </c>
      <c r="D13" s="233"/>
      <c r="E13" s="233"/>
      <c r="F13" s="233"/>
      <c r="G13" s="239" t="s">
        <v>2287</v>
      </c>
      <c r="H13" s="233"/>
      <c r="I13" s="233"/>
      <c r="J13" s="233"/>
      <c r="K13" s="831" t="s">
        <v>2288</v>
      </c>
      <c r="L13" s="233"/>
      <c r="M13" s="233"/>
      <c r="N13" s="233"/>
      <c r="O13" s="233"/>
      <c r="P13" s="233"/>
      <c r="Q13" s="237">
        <v>2023</v>
      </c>
      <c r="R13" s="237" t="s">
        <v>2289</v>
      </c>
      <c r="S13" s="237">
        <v>14</v>
      </c>
      <c r="X13" s="259" t="s">
        <v>2290</v>
      </c>
      <c r="AB13" s="868" t="s">
        <v>2291</v>
      </c>
      <c r="AC13" s="869" t="s">
        <v>2195</v>
      </c>
    </row>
    <row customHeight="1" ht="12">
      <c r="A14" s="333" t="s">
        <v>2292</v>
      </c>
      <c r="B14" s="242" t="s">
        <v>2293</v>
      </c>
      <c r="C14" s="243" t="s">
        <v>2294</v>
      </c>
      <c r="D14" s="233"/>
      <c r="E14" s="233"/>
      <c r="F14" s="233"/>
      <c r="G14" s="239" t="s">
        <v>2295</v>
      </c>
      <c r="H14" s="233"/>
      <c r="I14" s="233"/>
      <c r="J14" s="233"/>
      <c r="K14" s="831" t="s">
        <v>2296</v>
      </c>
      <c r="L14" s="233"/>
      <c r="M14" s="235" t="s">
        <v>2297</v>
      </c>
      <c r="N14" s="233"/>
      <c r="O14" s="233"/>
      <c r="P14" s="233"/>
      <c r="Q14" s="237">
        <v>2024</v>
      </c>
      <c r="R14" s="233"/>
      <c r="S14" s="237">
        <v>15</v>
      </c>
      <c r="X14" s="259" t="s">
        <v>2298</v>
      </c>
      <c r="AB14" s="868" t="s">
        <v>2299</v>
      </c>
      <c r="AC14" s="869" t="s">
        <v>2195</v>
      </c>
    </row>
    <row customHeight="1" ht="12">
      <c r="A15" s="233" t="s">
        <v>2300</v>
      </c>
      <c r="B15" s="234" t="s">
        <v>2301</v>
      </c>
      <c r="C15" s="233" t="s">
        <v>2300</v>
      </c>
      <c r="D15" s="233"/>
      <c r="E15" s="233"/>
      <c r="F15" s="233"/>
      <c r="G15" s="239" t="s">
        <v>2302</v>
      </c>
      <c r="H15" s="233"/>
      <c r="I15" s="233"/>
      <c r="J15" s="233"/>
      <c r="K15" s="831" t="s">
        <v>338</v>
      </c>
      <c r="L15" s="233"/>
      <c r="M15" s="238" t="str">
        <f>"01.01."&amp;PERIOD</f>
        <v>01.01.2021</v>
      </c>
      <c r="N15" s="233"/>
      <c r="O15" s="233"/>
      <c r="P15" s="233"/>
      <c r="Q15" s="237">
        <v>2025</v>
      </c>
      <c r="R15" s="233"/>
      <c r="S15" s="237">
        <v>16</v>
      </c>
      <c r="AB15" s="868" t="s">
        <v>2303</v>
      </c>
      <c r="AC15" s="869" t="s">
        <v>2195</v>
      </c>
    </row>
    <row customHeight="1" ht="12">
      <c r="A16" s="233" t="s">
        <v>2304</v>
      </c>
      <c r="B16" s="234" t="s">
        <v>2305</v>
      </c>
      <c r="C16" s="233" t="s">
        <v>2304</v>
      </c>
      <c r="D16" s="233"/>
      <c r="E16" s="233"/>
      <c r="F16" s="233"/>
      <c r="G16" s="239" t="s">
        <v>2306</v>
      </c>
      <c r="H16" s="233"/>
      <c r="I16" s="233"/>
      <c r="J16" s="233"/>
      <c r="K16" s="831" t="s">
        <v>2307</v>
      </c>
      <c r="L16" s="233"/>
      <c r="M16" s="238" t="str">
        <f>"31.12."&amp;PERIOD</f>
        <v>31.12.2021</v>
      </c>
      <c r="N16" s="233"/>
      <c r="O16" s="233"/>
      <c r="P16" s="233"/>
      <c r="Q16" s="237">
        <v>2026</v>
      </c>
      <c r="R16" s="233"/>
      <c r="S16" s="237">
        <v>17</v>
      </c>
      <c r="X16" s="250" t="s">
        <v>2308</v>
      </c>
      <c r="AB16" s="868" t="s">
        <v>2309</v>
      </c>
      <c r="AC16" s="869" t="s">
        <v>2195</v>
      </c>
    </row>
    <row customHeight="1" ht="12">
      <c r="A17" s="233" t="s">
        <v>2310</v>
      </c>
      <c r="B17" s="234" t="s">
        <v>2311</v>
      </c>
      <c r="C17" s="233" t="s">
        <v>2310</v>
      </c>
      <c r="D17" s="233"/>
      <c r="E17" s="233"/>
      <c r="F17" s="233"/>
      <c r="G17" s="233"/>
      <c r="H17" s="233"/>
      <c r="I17" s="233"/>
      <c r="J17" s="233"/>
      <c r="K17" s="233"/>
      <c r="L17" s="233"/>
      <c r="M17" s="220"/>
      <c r="N17" s="233"/>
      <c r="O17" s="233"/>
      <c r="P17" s="233"/>
      <c r="Q17" s="237">
        <v>2027</v>
      </c>
      <c r="R17" s="233"/>
      <c r="S17" s="237">
        <v>18</v>
      </c>
      <c r="X17" s="259" t="s">
        <v>420</v>
      </c>
      <c r="AB17" s="869" t="s">
        <v>2312</v>
      </c>
      <c r="AC17" s="869" t="s">
        <v>2195</v>
      </c>
    </row>
    <row customHeight="1" ht="12">
      <c r="A18" s="233" t="s">
        <v>2313</v>
      </c>
      <c r="B18" s="234" t="s">
        <v>2314</v>
      </c>
      <c r="C18" s="233" t="s">
        <v>2313</v>
      </c>
      <c r="D18" s="233"/>
      <c r="E18" s="233"/>
      <c r="F18" s="233"/>
      <c r="G18" s="233"/>
      <c r="H18" s="233"/>
      <c r="I18" s="233"/>
      <c r="J18" s="233"/>
      <c r="K18" s="235" t="s">
        <v>2315</v>
      </c>
      <c r="L18" s="233"/>
      <c r="M18" s="235" t="s">
        <v>2316</v>
      </c>
      <c r="N18" s="233"/>
      <c r="O18" s="233"/>
      <c r="P18" s="233"/>
      <c r="Q18" s="237">
        <v>2028</v>
      </c>
      <c r="R18" s="233"/>
      <c r="S18" s="237">
        <v>19</v>
      </c>
      <c r="X18" s="259" t="s">
        <v>2317</v>
      </c>
      <c r="AB18" s="869" t="s">
        <v>2318</v>
      </c>
      <c r="AC18" s="869" t="s">
        <v>2195</v>
      </c>
    </row>
    <row customHeight="1" ht="12">
      <c r="A19" s="233" t="s">
        <v>2319</v>
      </c>
      <c r="B19" s="234" t="s">
        <v>2320</v>
      </c>
      <c r="C19" s="240" t="s">
        <v>2321</v>
      </c>
      <c r="D19" s="233"/>
      <c r="E19" s="233"/>
      <c r="F19" s="233"/>
      <c r="G19" s="233"/>
      <c r="H19" s="233"/>
      <c r="I19" s="233"/>
      <c r="J19" s="233"/>
      <c r="K19" s="822" t="s">
        <v>339</v>
      </c>
      <c r="L19" s="233"/>
      <c r="M19" s="238" t="str">
        <f>"01.01."&amp;PERIOD</f>
        <v>01.01.2021</v>
      </c>
      <c r="N19" s="233"/>
      <c r="O19" s="233"/>
      <c r="P19" s="233"/>
      <c r="Q19" s="237">
        <v>2029</v>
      </c>
      <c r="R19" s="233"/>
      <c r="S19" s="237">
        <v>20</v>
      </c>
      <c r="X19" s="259" t="s">
        <v>2322</v>
      </c>
      <c r="AB19" s="869" t="s">
        <v>2323</v>
      </c>
      <c r="AC19" s="869" t="s">
        <v>2195</v>
      </c>
    </row>
    <row customHeight="1" ht="12">
      <c r="A20" s="233" t="s">
        <v>2324</v>
      </c>
      <c r="B20" s="234" t="s">
        <v>2325</v>
      </c>
      <c r="C20" s="233" t="s">
        <v>2324</v>
      </c>
      <c r="D20" s="233"/>
      <c r="E20" s="233"/>
      <c r="F20" s="233"/>
      <c r="G20" s="233"/>
      <c r="H20" s="233"/>
      <c r="I20" s="233"/>
      <c r="J20" s="233"/>
      <c r="K20" s="822" t="s">
        <v>2326</v>
      </c>
      <c r="L20" s="233"/>
      <c r="M20" s="238" t="str">
        <f>"31.12."&amp;PERIOD</f>
        <v>31.12.2021</v>
      </c>
      <c r="N20" s="233"/>
      <c r="O20" s="233"/>
      <c r="P20" s="233"/>
      <c r="Q20" s="237">
        <v>2030</v>
      </c>
      <c r="R20" s="233"/>
      <c r="S20" s="237">
        <v>21</v>
      </c>
      <c r="X20" s="259" t="s">
        <v>2327</v>
      </c>
      <c r="AB20" s="869" t="s">
        <v>2328</v>
      </c>
      <c r="AC20" s="869" t="s">
        <v>2195</v>
      </c>
    </row>
    <row customHeight="1" ht="12">
      <c r="A21" s="233" t="s">
        <v>2329</v>
      </c>
      <c r="B21" s="234" t="s">
        <v>2330</v>
      </c>
      <c r="C21" s="233" t="s">
        <v>2329</v>
      </c>
      <c r="D21" s="233"/>
      <c r="E21" s="233"/>
      <c r="F21" s="233"/>
      <c r="G21" s="233"/>
      <c r="H21" s="233"/>
      <c r="I21" s="233"/>
      <c r="J21" s="233"/>
      <c r="K21" s="822" t="s">
        <v>2331</v>
      </c>
      <c r="L21" s="233"/>
      <c r="M21" s="233"/>
      <c r="N21" s="233"/>
      <c r="O21" s="233"/>
      <c r="P21" s="233"/>
      <c r="Q21" s="233"/>
      <c r="R21" s="233"/>
      <c r="S21" s="237">
        <v>22</v>
      </c>
      <c r="X21" s="259" t="s">
        <v>248</v>
      </c>
      <c r="AB21" s="869" t="s">
        <v>2332</v>
      </c>
      <c r="AC21" s="869" t="s">
        <v>2333</v>
      </c>
    </row>
    <row customHeight="1" ht="12">
      <c r="A22" s="233" t="s">
        <v>2334</v>
      </c>
      <c r="B22" s="234" t="s">
        <v>2335</v>
      </c>
      <c r="C22" s="233" t="s">
        <v>2334</v>
      </c>
      <c r="D22" s="233"/>
      <c r="E22" s="233"/>
      <c r="F22" s="233"/>
      <c r="G22" s="233"/>
      <c r="H22" s="233"/>
      <c r="I22" s="233"/>
      <c r="J22" s="233"/>
      <c r="K22" s="233"/>
      <c r="L22" s="233"/>
      <c r="M22" s="233"/>
      <c r="N22" s="233"/>
      <c r="O22" s="233"/>
      <c r="P22" s="233"/>
      <c r="Q22" s="233"/>
      <c r="R22" s="233"/>
      <c r="S22" s="237">
        <v>23</v>
      </c>
      <c r="X22" s="259" t="s">
        <v>2336</v>
      </c>
      <c r="AB22" s="869" t="s">
        <v>2337</v>
      </c>
      <c r="AC22" s="869" t="s">
        <v>2333</v>
      </c>
    </row>
    <row customHeight="1" ht="12">
      <c r="A23" s="233" t="s">
        <v>2338</v>
      </c>
      <c r="B23" s="234" t="s">
        <v>2339</v>
      </c>
      <c r="C23" s="240" t="s">
        <v>2340</v>
      </c>
      <c r="D23" s="233"/>
      <c r="E23" s="233"/>
      <c r="F23" s="233"/>
      <c r="G23" s="233"/>
      <c r="H23" s="233"/>
      <c r="I23" s="233"/>
      <c r="J23" s="233"/>
      <c r="K23" s="235" t="s">
        <v>2341</v>
      </c>
      <c r="L23" s="233"/>
      <c r="M23" s="233"/>
      <c r="N23" s="233"/>
      <c r="O23" s="233"/>
      <c r="P23" s="233"/>
      <c r="Q23" s="233"/>
      <c r="R23" s="233"/>
      <c r="S23" s="237">
        <v>24</v>
      </c>
      <c r="X23" s="259" t="s">
        <v>304</v>
      </c>
      <c r="AB23" s="868" t="s">
        <v>2342</v>
      </c>
      <c r="AC23" s="869" t="s">
        <v>2333</v>
      </c>
    </row>
    <row customHeight="1" ht="12">
      <c r="A24" s="233" t="s">
        <v>2343</v>
      </c>
      <c r="B24" s="234" t="s">
        <v>2344</v>
      </c>
      <c r="C24" s="233" t="s">
        <v>2343</v>
      </c>
      <c r="D24" s="233"/>
      <c r="E24" s="233"/>
      <c r="F24" s="233"/>
      <c r="G24" s="233"/>
      <c r="H24" s="233"/>
      <c r="I24" s="233"/>
      <c r="J24" s="233"/>
      <c r="K24" s="823" t="s">
        <v>2345</v>
      </c>
      <c r="L24" s="233"/>
      <c r="M24" s="233"/>
      <c r="N24" s="233"/>
      <c r="O24" s="233"/>
      <c r="P24" s="233"/>
      <c r="Q24" s="233"/>
      <c r="R24" s="233"/>
      <c r="S24" s="237">
        <v>25</v>
      </c>
      <c r="X24" s="259" t="s">
        <v>2346</v>
      </c>
      <c r="AB24" s="868" t="s">
        <v>2347</v>
      </c>
      <c r="AC24" s="869" t="s">
        <v>2333</v>
      </c>
    </row>
    <row customHeight="1" ht="12">
      <c r="A25" s="233" t="s">
        <v>2348</v>
      </c>
      <c r="B25" s="234" t="s">
        <v>2349</v>
      </c>
      <c r="C25" s="233" t="s">
        <v>2348</v>
      </c>
      <c r="D25" s="233"/>
      <c r="E25" s="233"/>
      <c r="F25" s="233"/>
      <c r="G25" s="233"/>
      <c r="H25" s="233"/>
      <c r="I25" s="233"/>
      <c r="J25" s="233"/>
      <c r="K25" s="823" t="s">
        <v>2350</v>
      </c>
      <c r="L25" s="233"/>
      <c r="M25" s="233"/>
      <c r="N25" s="233"/>
      <c r="O25" s="233"/>
      <c r="P25" s="233"/>
      <c r="Q25" s="233"/>
      <c r="R25" s="233"/>
      <c r="S25" s="237">
        <v>26</v>
      </c>
      <c r="X25" s="259" t="s">
        <v>2351</v>
      </c>
      <c r="AB25" s="868" t="s">
        <v>2352</v>
      </c>
      <c r="AC25" s="869" t="s">
        <v>2333</v>
      </c>
    </row>
    <row customHeight="1" ht="12">
      <c r="A26" s="233" t="s">
        <v>2353</v>
      </c>
      <c r="B26" s="234" t="s">
        <v>2354</v>
      </c>
      <c r="C26" s="233" t="s">
        <v>2353</v>
      </c>
      <c r="D26" s="233"/>
      <c r="E26" s="233"/>
      <c r="F26" s="233"/>
      <c r="G26" s="233"/>
      <c r="H26" s="233"/>
      <c r="I26" s="233"/>
      <c r="J26" s="233"/>
      <c r="K26" s="823" t="s">
        <v>2355</v>
      </c>
      <c r="L26" s="233"/>
      <c r="M26" s="233"/>
      <c r="N26" s="233"/>
      <c r="O26" s="233"/>
      <c r="P26" s="233"/>
      <c r="Q26" s="233"/>
      <c r="R26" s="233"/>
      <c r="S26" s="237">
        <v>27</v>
      </c>
      <c r="X26" s="259" t="s">
        <v>2356</v>
      </c>
      <c r="AB26" s="868" t="s">
        <v>2357</v>
      </c>
      <c r="AC26" s="869" t="s">
        <v>2333</v>
      </c>
    </row>
    <row customHeight="1" ht="12">
      <c r="A27" s="233" t="s">
        <v>2358</v>
      </c>
      <c r="B27" s="234" t="s">
        <v>2359</v>
      </c>
      <c r="C27" s="233" t="s">
        <v>2358</v>
      </c>
      <c r="D27" s="233"/>
      <c r="E27" s="233"/>
      <c r="F27" s="233"/>
      <c r="G27" s="233"/>
      <c r="H27" s="233"/>
      <c r="I27" s="233"/>
      <c r="J27" s="233"/>
      <c r="K27" s="823" t="s">
        <v>341</v>
      </c>
      <c r="L27" s="233"/>
      <c r="M27" s="233"/>
      <c r="N27" s="233"/>
      <c r="O27" s="233"/>
      <c r="P27" s="233"/>
      <c r="Q27" s="233"/>
      <c r="R27" s="233"/>
      <c r="S27" s="237">
        <v>28</v>
      </c>
      <c r="X27" s="259" t="s">
        <v>2360</v>
      </c>
      <c r="AB27" s="868" t="s">
        <v>2361</v>
      </c>
      <c r="AC27" s="869" t="s">
        <v>2333</v>
      </c>
    </row>
    <row customHeight="1" ht="12">
      <c r="A28" s="233" t="s">
        <v>2362</v>
      </c>
      <c r="B28" s="234" t="s">
        <v>2363</v>
      </c>
      <c r="C28" s="233" t="s">
        <v>2362</v>
      </c>
      <c r="D28" s="233"/>
      <c r="E28" s="233"/>
      <c r="F28" s="233"/>
      <c r="G28" s="233"/>
      <c r="H28" s="233"/>
      <c r="I28" s="233"/>
      <c r="J28" s="233"/>
      <c r="K28" s="823" t="s">
        <v>2364</v>
      </c>
      <c r="L28" s="233"/>
      <c r="M28" s="233"/>
      <c r="N28" s="233"/>
      <c r="O28" s="233"/>
      <c r="P28" s="233"/>
      <c r="Q28" s="233"/>
      <c r="R28" s="233"/>
      <c r="S28" s="237">
        <v>29</v>
      </c>
      <c r="X28" s="259" t="s">
        <v>2365</v>
      </c>
      <c r="AB28" s="868" t="s">
        <v>2366</v>
      </c>
      <c r="AC28" s="869" t="s">
        <v>2333</v>
      </c>
    </row>
    <row customHeight="1" ht="12">
      <c r="A29" s="233" t="s">
        <v>2367</v>
      </c>
      <c r="B29" s="234" t="s">
        <v>2368</v>
      </c>
      <c r="C29" s="233" t="s">
        <v>2367</v>
      </c>
      <c r="D29" s="233"/>
      <c r="E29" s="233"/>
      <c r="F29" s="233"/>
      <c r="G29" s="233"/>
      <c r="H29" s="233"/>
      <c r="I29" s="233"/>
      <c r="J29" s="233"/>
      <c r="K29" s="233"/>
      <c r="L29" s="233"/>
      <c r="M29" s="233"/>
      <c r="N29" s="233"/>
      <c r="O29" s="233"/>
      <c r="P29" s="233"/>
      <c r="Q29" s="233"/>
      <c r="R29" s="233"/>
      <c r="S29" s="237">
        <v>30</v>
      </c>
      <c r="X29" s="259" t="s">
        <v>2369</v>
      </c>
      <c r="AB29" s="868" t="s">
        <v>2370</v>
      </c>
      <c r="AC29" s="869" t="s">
        <v>2333</v>
      </c>
    </row>
    <row customHeight="1" ht="12">
      <c r="A30" s="233" t="s">
        <v>2371</v>
      </c>
      <c r="B30" s="234" t="s">
        <v>2372</v>
      </c>
      <c r="C30" s="233" t="s">
        <v>2371</v>
      </c>
      <c r="D30" s="233"/>
      <c r="E30" s="233"/>
      <c r="F30" s="233"/>
      <c r="G30" s="233"/>
      <c r="H30" s="233"/>
      <c r="I30" s="233"/>
      <c r="J30" s="233"/>
      <c r="K30" s="235" t="s">
        <v>2373</v>
      </c>
      <c r="L30" s="233"/>
      <c r="M30" s="233"/>
      <c r="N30" s="233"/>
      <c r="O30" s="233"/>
      <c r="P30" s="233"/>
      <c r="Q30" s="233"/>
      <c r="R30" s="233"/>
      <c r="S30" s="237">
        <v>31</v>
      </c>
      <c r="X30" s="259" t="s">
        <v>2374</v>
      </c>
      <c r="AB30" s="868" t="s">
        <v>2375</v>
      </c>
      <c r="AC30" s="869" t="s">
        <v>2333</v>
      </c>
    </row>
    <row customHeight="1" ht="12">
      <c r="A31" s="233" t="s">
        <v>2376</v>
      </c>
      <c r="B31" s="234" t="s">
        <v>2377</v>
      </c>
      <c r="C31" s="233" t="s">
        <v>2376</v>
      </c>
      <c r="D31" s="233"/>
      <c r="E31" s="233"/>
      <c r="F31" s="233"/>
      <c r="G31" s="233"/>
      <c r="H31" s="233"/>
      <c r="I31" s="233"/>
      <c r="J31" s="233"/>
      <c r="K31" s="823" t="s">
        <v>2378</v>
      </c>
      <c r="L31" s="233"/>
      <c r="M31" s="233"/>
      <c r="N31" s="233"/>
      <c r="O31" s="233"/>
      <c r="P31" s="233"/>
      <c r="Q31" s="233"/>
      <c r="R31" s="233"/>
      <c r="S31" s="237">
        <v>32</v>
      </c>
      <c r="X31" s="259" t="s">
        <v>2379</v>
      </c>
      <c r="AB31" s="868" t="s">
        <v>2380</v>
      </c>
      <c r="AC31" s="869" t="s">
        <v>2333</v>
      </c>
    </row>
    <row customHeight="1" ht="12">
      <c r="A32" s="233" t="s">
        <v>2381</v>
      </c>
      <c r="B32" s="234" t="s">
        <v>2382</v>
      </c>
      <c r="C32" s="233" t="s">
        <v>2381</v>
      </c>
      <c r="D32" s="233"/>
      <c r="E32" s="233"/>
      <c r="F32" s="233"/>
      <c r="G32" s="233"/>
      <c r="H32" s="233"/>
      <c r="I32" s="233"/>
      <c r="J32" s="233"/>
      <c r="K32" s="823" t="s">
        <v>2383</v>
      </c>
      <c r="L32" s="233"/>
      <c r="M32" s="233"/>
      <c r="N32" s="233"/>
      <c r="O32" s="233"/>
      <c r="P32" s="233"/>
      <c r="Q32" s="233"/>
      <c r="R32" s="233"/>
      <c r="S32" s="237">
        <v>33</v>
      </c>
      <c r="X32" s="259" t="s">
        <v>2384</v>
      </c>
      <c r="AB32" s="868" t="s">
        <v>2385</v>
      </c>
      <c r="AC32" s="869" t="s">
        <v>2333</v>
      </c>
    </row>
    <row customHeight="1" ht="12">
      <c r="A33" s="233" t="s">
        <v>2386</v>
      </c>
      <c r="B33" s="234" t="s">
        <v>2387</v>
      </c>
      <c r="C33" s="233" t="s">
        <v>2386</v>
      </c>
      <c r="D33" s="233"/>
      <c r="E33" s="233"/>
      <c r="F33" s="233"/>
      <c r="G33" s="233"/>
      <c r="H33" s="233"/>
      <c r="I33" s="233"/>
      <c r="J33" s="233"/>
      <c r="K33" s="823" t="s">
        <v>2388</v>
      </c>
      <c r="L33" s="233"/>
      <c r="M33" s="233"/>
      <c r="N33" s="233"/>
      <c r="O33" s="233"/>
      <c r="P33" s="233"/>
      <c r="Q33" s="233"/>
      <c r="R33" s="233"/>
      <c r="S33" s="237">
        <v>34</v>
      </c>
      <c r="X33" s="259" t="s">
        <v>2389</v>
      </c>
      <c r="AB33" s="869" t="s">
        <v>2390</v>
      </c>
      <c r="AC33" s="869" t="s">
        <v>2333</v>
      </c>
    </row>
    <row customHeight="1" ht="12">
      <c r="A34" s="233" t="s">
        <v>2391</v>
      </c>
      <c r="B34" s="234" t="s">
        <v>2392</v>
      </c>
      <c r="C34" s="233" t="s">
        <v>2391</v>
      </c>
      <c r="D34" s="233"/>
      <c r="E34" s="233"/>
      <c r="F34" s="233"/>
      <c r="G34" s="233"/>
      <c r="H34" s="233"/>
      <c r="I34" s="233"/>
      <c r="J34" s="233"/>
      <c r="K34" s="233"/>
      <c r="L34" s="233"/>
      <c r="M34" s="233"/>
      <c r="N34" s="233"/>
      <c r="O34" s="233"/>
      <c r="P34" s="233"/>
      <c r="Q34" s="233"/>
      <c r="R34" s="233"/>
      <c r="S34" s="237">
        <v>35</v>
      </c>
      <c r="X34" s="259" t="s">
        <v>2393</v>
      </c>
      <c r="AB34" s="869" t="s">
        <v>2394</v>
      </c>
      <c r="AC34" s="869" t="s">
        <v>2333</v>
      </c>
    </row>
    <row customHeight="1" ht="12">
      <c r="A35" s="233" t="s">
        <v>2395</v>
      </c>
      <c r="B35" s="234" t="s">
        <v>2396</v>
      </c>
      <c r="C35" s="233" t="s">
        <v>2395</v>
      </c>
      <c r="D35" s="233"/>
      <c r="E35" s="233"/>
      <c r="F35" s="233"/>
      <c r="G35" s="233"/>
      <c r="H35" s="233"/>
      <c r="I35" s="233"/>
      <c r="J35" s="233"/>
      <c r="K35" s="233"/>
      <c r="L35" s="233"/>
      <c r="M35" s="233"/>
      <c r="N35" s="233"/>
      <c r="O35" s="233"/>
      <c r="P35" s="233"/>
      <c r="Q35" s="233"/>
      <c r="R35" s="233"/>
      <c r="S35" s="237">
        <v>36</v>
      </c>
      <c r="X35" s="259" t="s">
        <v>2397</v>
      </c>
      <c r="AB35" s="869" t="s">
        <v>2398</v>
      </c>
      <c r="AC35" s="869" t="s">
        <v>2333</v>
      </c>
    </row>
    <row customHeight="1" ht="12">
      <c r="A36" s="233" t="s">
        <v>2399</v>
      </c>
      <c r="B36" s="234" t="s">
        <v>2400</v>
      </c>
      <c r="C36" s="233" t="s">
        <v>2399</v>
      </c>
      <c r="D36" s="233"/>
      <c r="E36" s="233"/>
      <c r="F36" s="233"/>
      <c r="G36" s="233"/>
      <c r="H36" s="233"/>
      <c r="I36" s="233"/>
      <c r="J36" s="233"/>
      <c r="K36" s="233"/>
      <c r="L36" s="233"/>
      <c r="M36" s="233"/>
      <c r="N36" s="233"/>
      <c r="O36" s="233"/>
      <c r="P36" s="233"/>
      <c r="Q36" s="233"/>
      <c r="R36" s="233"/>
      <c r="S36" s="237">
        <v>37</v>
      </c>
      <c r="X36" s="259" t="s">
        <v>2401</v>
      </c>
      <c r="AB36" s="869" t="s">
        <v>2402</v>
      </c>
      <c r="AC36" s="869" t="s">
        <v>2333</v>
      </c>
    </row>
    <row customHeight="1" ht="12">
      <c r="A37" s="233" t="s">
        <v>2403</v>
      </c>
      <c r="B37" s="234" t="s">
        <v>2404</v>
      </c>
      <c r="C37" s="233" t="s">
        <v>2403</v>
      </c>
      <c r="D37" s="233"/>
      <c r="E37" s="233"/>
      <c r="F37" s="233"/>
      <c r="G37" s="233"/>
      <c r="H37" s="233"/>
      <c r="I37" s="233"/>
      <c r="J37" s="233"/>
      <c r="K37" s="233"/>
      <c r="L37" s="233"/>
      <c r="M37" s="233"/>
      <c r="N37" s="233"/>
      <c r="O37" s="233"/>
      <c r="P37" s="233"/>
      <c r="Q37" s="233"/>
      <c r="R37" s="233"/>
      <c r="S37" s="237">
        <v>38</v>
      </c>
      <c r="AB37" s="869" t="s">
        <v>2405</v>
      </c>
      <c r="AC37" s="869" t="s">
        <v>2333</v>
      </c>
    </row>
    <row customHeight="1" ht="12">
      <c r="A38" s="233" t="s">
        <v>2406</v>
      </c>
      <c r="B38" s="234" t="s">
        <v>2407</v>
      </c>
      <c r="C38" s="233" t="s">
        <v>2406</v>
      </c>
      <c r="D38" s="233"/>
      <c r="E38" s="233"/>
      <c r="F38" s="233"/>
      <c r="G38" s="233"/>
      <c r="H38" s="233"/>
      <c r="I38" s="233"/>
      <c r="J38" s="233"/>
      <c r="K38" s="235" t="s">
        <v>2408</v>
      </c>
      <c r="L38" s="233"/>
      <c r="M38" s="233"/>
      <c r="N38" s="233"/>
      <c r="O38" s="233"/>
      <c r="P38" s="233"/>
      <c r="Q38" s="233"/>
      <c r="R38" s="233"/>
      <c r="S38" s="237">
        <v>39</v>
      </c>
      <c r="AB38" s="869" t="s">
        <v>2409</v>
      </c>
      <c r="AC38" s="869" t="s">
        <v>2333</v>
      </c>
    </row>
    <row customHeight="1" ht="12">
      <c r="A39" s="233" t="s">
        <v>2410</v>
      </c>
      <c r="B39" s="234" t="s">
        <v>2411</v>
      </c>
      <c r="C39" s="233" t="s">
        <v>2410</v>
      </c>
      <c r="D39" s="233"/>
      <c r="E39" s="233"/>
      <c r="F39" s="233"/>
      <c r="G39" s="233"/>
      <c r="H39" s="233"/>
      <c r="I39" s="233"/>
      <c r="J39" s="233"/>
      <c r="K39" s="239" t="s">
        <v>2412</v>
      </c>
      <c r="L39" s="233"/>
      <c r="M39" s="233"/>
      <c r="N39" s="233"/>
      <c r="O39" s="233"/>
      <c r="P39" s="233"/>
      <c r="Q39" s="233"/>
      <c r="R39" s="233"/>
      <c r="S39" s="237">
        <v>40</v>
      </c>
      <c r="AB39" s="869" t="s">
        <v>2413</v>
      </c>
      <c r="AC39" s="869" t="s">
        <v>2333</v>
      </c>
    </row>
    <row customHeight="1" ht="12">
      <c r="A40" s="233" t="s">
        <v>2414</v>
      </c>
      <c r="B40" s="234" t="s">
        <v>2415</v>
      </c>
      <c r="C40" s="233" t="s">
        <v>2414</v>
      </c>
      <c r="D40" s="233"/>
      <c r="E40" s="233"/>
      <c r="F40" s="233"/>
      <c r="G40" s="233"/>
      <c r="H40" s="233"/>
      <c r="I40" s="233"/>
      <c r="J40" s="233"/>
      <c r="K40" s="239" t="s">
        <v>2416</v>
      </c>
      <c r="L40" s="233"/>
      <c r="M40" s="233"/>
      <c r="N40" s="233"/>
      <c r="O40" s="233"/>
      <c r="P40" s="233"/>
      <c r="Q40" s="233"/>
      <c r="R40" s="233"/>
      <c r="S40" s="237">
        <v>41</v>
      </c>
      <c r="AB40" s="869" t="s">
        <v>2417</v>
      </c>
      <c r="AC40" s="869" t="s">
        <v>2333</v>
      </c>
    </row>
    <row customHeight="1" ht="12">
      <c r="A41" s="233" t="s">
        <v>2418</v>
      </c>
      <c r="B41" s="234" t="s">
        <v>2419</v>
      </c>
      <c r="C41" s="233" t="s">
        <v>2418</v>
      </c>
      <c r="D41" s="233"/>
      <c r="E41" s="233"/>
      <c r="F41" s="233"/>
      <c r="G41" s="233"/>
      <c r="H41" s="233"/>
      <c r="I41" s="233"/>
      <c r="J41" s="233"/>
      <c r="K41" s="239" t="s">
        <v>2420</v>
      </c>
      <c r="L41" s="233"/>
      <c r="M41" s="233"/>
      <c r="N41" s="233"/>
      <c r="O41" s="233"/>
      <c r="P41" s="233"/>
      <c r="Q41" s="233"/>
      <c r="R41" s="233"/>
      <c r="S41" s="237">
        <v>42</v>
      </c>
      <c r="AB41" s="869" t="s">
        <v>2421</v>
      </c>
      <c r="AC41" s="869" t="s">
        <v>2333</v>
      </c>
    </row>
    <row customHeight="1" ht="12">
      <c r="A42" s="233" t="s">
        <v>2422</v>
      </c>
      <c r="B42" s="234" t="s">
        <v>2423</v>
      </c>
      <c r="C42" s="233" t="s">
        <v>2422</v>
      </c>
      <c r="D42" s="233"/>
      <c r="E42" s="233"/>
      <c r="F42" s="233"/>
      <c r="G42" s="233"/>
      <c r="H42" s="233"/>
      <c r="I42" s="233"/>
      <c r="J42" s="233"/>
      <c r="K42" s="239" t="s">
        <v>2424</v>
      </c>
      <c r="L42" s="233"/>
      <c r="M42" s="233"/>
      <c r="N42" s="233"/>
      <c r="O42" s="233"/>
      <c r="P42" s="233"/>
      <c r="Q42" s="233"/>
      <c r="R42" s="233"/>
      <c r="S42" s="237">
        <v>43</v>
      </c>
      <c r="AB42" s="869" t="s">
        <v>2425</v>
      </c>
      <c r="AC42" s="869" t="s">
        <v>2333</v>
      </c>
    </row>
    <row customHeight="1" ht="12">
      <c r="A43" s="233" t="s">
        <v>2426</v>
      </c>
      <c r="B43" s="234" t="s">
        <v>2427</v>
      </c>
      <c r="C43" s="233" t="s">
        <v>2426</v>
      </c>
      <c r="D43" s="233"/>
      <c r="E43" s="233"/>
      <c r="F43" s="233"/>
      <c r="G43" s="233"/>
      <c r="H43" s="233"/>
      <c r="I43" s="233"/>
      <c r="J43" s="233"/>
      <c r="K43" s="233"/>
      <c r="L43" s="233"/>
      <c r="M43" s="233"/>
      <c r="N43" s="233"/>
      <c r="O43" s="233"/>
      <c r="P43" s="233"/>
      <c r="Q43" s="233"/>
      <c r="R43" s="233"/>
      <c r="S43" s="237">
        <v>44</v>
      </c>
      <c r="AB43" s="869" t="s">
        <v>2428</v>
      </c>
      <c r="AC43" s="869" t="s">
        <v>2429</v>
      </c>
    </row>
    <row customHeight="1" ht="12">
      <c r="A44" s="233" t="s">
        <v>2430</v>
      </c>
      <c r="B44" s="234" t="s">
        <v>2431</v>
      </c>
      <c r="C44" s="233" t="s">
        <v>2430</v>
      </c>
      <c r="D44" s="233"/>
      <c r="E44" s="233"/>
      <c r="F44" s="233"/>
      <c r="G44" s="233"/>
      <c r="H44" s="233"/>
      <c r="I44" s="233"/>
      <c r="J44" s="233"/>
      <c r="K44" s="233"/>
      <c r="L44" s="233"/>
      <c r="M44" s="233"/>
      <c r="N44" s="233"/>
      <c r="O44" s="233"/>
      <c r="P44" s="233"/>
      <c r="Q44" s="233"/>
      <c r="R44" s="233"/>
      <c r="S44" s="237">
        <v>45</v>
      </c>
      <c r="AB44" s="869" t="s">
        <v>2432</v>
      </c>
      <c r="AC44" s="869" t="s">
        <v>2433</v>
      </c>
    </row>
    <row customHeight="1" ht="12">
      <c r="A45" s="233" t="s">
        <v>2434</v>
      </c>
      <c r="B45" s="234" t="s">
        <v>2435</v>
      </c>
      <c r="C45" s="233" t="s">
        <v>2434</v>
      </c>
      <c r="D45" s="233"/>
      <c r="E45" s="233"/>
      <c r="F45" s="233"/>
      <c r="G45" s="233"/>
      <c r="H45" s="233"/>
      <c r="I45" s="233"/>
      <c r="J45" s="233"/>
      <c r="K45" s="235" t="s">
        <v>2436</v>
      </c>
      <c r="L45" s="233"/>
      <c r="M45" s="233"/>
      <c r="N45" s="233"/>
      <c r="O45" s="233"/>
      <c r="P45" s="233"/>
      <c r="Q45" s="233"/>
      <c r="R45" s="233"/>
      <c r="S45" s="237">
        <v>46</v>
      </c>
      <c r="AB45" s="869" t="s">
        <v>2437</v>
      </c>
      <c r="AC45" s="869" t="s">
        <v>2333</v>
      </c>
    </row>
    <row customHeight="1" ht="12">
      <c r="A46" s="233" t="s">
        <v>2438</v>
      </c>
      <c r="B46" s="234" t="s">
        <v>2439</v>
      </c>
      <c r="C46" s="233" t="s">
        <v>2438</v>
      </c>
      <c r="D46" s="233"/>
      <c r="E46" s="233"/>
      <c r="F46" s="233"/>
      <c r="G46" s="233"/>
      <c r="H46" s="233"/>
      <c r="I46" s="233"/>
      <c r="J46" s="233"/>
      <c r="K46" s="239" t="s">
        <v>2327</v>
      </c>
      <c r="L46" s="233"/>
      <c r="M46" s="233"/>
      <c r="N46" s="233"/>
      <c r="O46" s="233"/>
      <c r="P46" s="233"/>
      <c r="Q46" s="233"/>
      <c r="R46" s="233"/>
      <c r="S46" s="237">
        <v>47</v>
      </c>
      <c r="AB46" s="869" t="s">
        <v>2440</v>
      </c>
      <c r="AC46" s="869" t="s">
        <v>2333</v>
      </c>
    </row>
    <row customHeight="1" ht="12">
      <c r="A47" s="233" t="s">
        <v>2441</v>
      </c>
      <c r="B47" s="234" t="s">
        <v>2442</v>
      </c>
      <c r="C47" s="233" t="s">
        <v>2441</v>
      </c>
      <c r="D47" s="233"/>
      <c r="E47" s="233"/>
      <c r="F47" s="233"/>
      <c r="G47" s="233"/>
      <c r="H47" s="233"/>
      <c r="I47" s="233"/>
      <c r="J47" s="233"/>
      <c r="K47" s="239" t="s">
        <v>248</v>
      </c>
      <c r="L47" s="233"/>
      <c r="M47" s="233"/>
      <c r="N47" s="233"/>
      <c r="O47" s="233"/>
      <c r="P47" s="233"/>
      <c r="Q47" s="233"/>
      <c r="R47" s="233"/>
      <c r="S47" s="237">
        <v>48</v>
      </c>
      <c r="AB47" s="869" t="s">
        <v>2443</v>
      </c>
      <c r="AC47" s="869" t="s">
        <v>2333</v>
      </c>
    </row>
    <row customHeight="1" ht="12">
      <c r="A48" s="233" t="s">
        <v>2444</v>
      </c>
      <c r="B48" s="234" t="s">
        <v>2445</v>
      </c>
      <c r="C48" s="233" t="s">
        <v>2444</v>
      </c>
      <c r="D48" s="233"/>
      <c r="E48" s="233"/>
      <c r="F48" s="233"/>
      <c r="G48" s="233"/>
      <c r="H48" s="233"/>
      <c r="I48" s="233"/>
      <c r="J48" s="233"/>
      <c r="K48" s="239" t="s">
        <v>2336</v>
      </c>
      <c r="L48" s="233"/>
      <c r="M48" s="233"/>
      <c r="N48" s="233"/>
      <c r="O48" s="233"/>
      <c r="P48" s="233"/>
      <c r="Q48" s="233"/>
      <c r="R48" s="233"/>
      <c r="S48" s="237">
        <v>49</v>
      </c>
      <c r="AB48" s="869" t="s">
        <v>2446</v>
      </c>
      <c r="AC48" s="869" t="s">
        <v>2333</v>
      </c>
    </row>
    <row customHeight="1" ht="12">
      <c r="A49" s="233" t="s">
        <v>2447</v>
      </c>
      <c r="B49" s="234" t="s">
        <v>2448</v>
      </c>
      <c r="C49" s="233" t="s">
        <v>2447</v>
      </c>
      <c r="D49" s="233"/>
      <c r="E49" s="233"/>
      <c r="F49" s="233"/>
      <c r="G49" s="233"/>
      <c r="H49" s="233"/>
      <c r="I49" s="233"/>
      <c r="J49" s="233"/>
      <c r="K49" s="239" t="s">
        <v>304</v>
      </c>
      <c r="L49" s="233"/>
      <c r="M49" s="233"/>
      <c r="N49" s="233"/>
      <c r="O49" s="233"/>
      <c r="P49" s="233"/>
      <c r="Q49" s="233"/>
      <c r="R49" s="233"/>
      <c r="S49" s="237">
        <v>50</v>
      </c>
      <c r="AB49" s="869" t="s">
        <v>2449</v>
      </c>
      <c r="AC49" s="869" t="s">
        <v>2333</v>
      </c>
    </row>
    <row customHeight="1" ht="12">
      <c r="A50" s="233" t="s">
        <v>2450</v>
      </c>
      <c r="B50" s="234" t="s">
        <v>2451</v>
      </c>
      <c r="C50" s="233" t="s">
        <v>2450</v>
      </c>
      <c r="D50" s="233"/>
      <c r="E50" s="233"/>
      <c r="F50" s="233"/>
      <c r="G50" s="233"/>
      <c r="H50" s="233"/>
      <c r="I50" s="233"/>
      <c r="J50" s="233"/>
      <c r="K50" s="239" t="s">
        <v>2452</v>
      </c>
      <c r="L50" s="233"/>
      <c r="M50" s="233"/>
      <c r="N50" s="233"/>
      <c r="O50" s="233"/>
      <c r="P50" s="233"/>
      <c r="Q50" s="233"/>
      <c r="R50" s="233"/>
      <c r="AB50" s="869" t="s">
        <v>2453</v>
      </c>
      <c r="AC50" s="869" t="s">
        <v>2333</v>
      </c>
    </row>
    <row customHeight="1" ht="12">
      <c r="A51" s="233" t="s">
        <v>2454</v>
      </c>
      <c r="B51" s="234" t="s">
        <v>2455</v>
      </c>
      <c r="C51" s="233" t="s">
        <v>2454</v>
      </c>
      <c r="D51" s="233"/>
      <c r="E51" s="233"/>
      <c r="F51" s="233"/>
      <c r="G51" s="233"/>
      <c r="H51" s="233"/>
      <c r="I51" s="233"/>
      <c r="J51" s="233"/>
      <c r="K51" s="239" t="s">
        <v>2322</v>
      </c>
      <c r="L51" s="233"/>
      <c r="M51" s="233"/>
      <c r="N51" s="233"/>
      <c r="O51" s="233"/>
      <c r="P51" s="233"/>
      <c r="Q51" s="233"/>
      <c r="R51" s="233"/>
      <c r="AB51" s="869" t="s">
        <v>2456</v>
      </c>
      <c r="AC51" s="869" t="s">
        <v>2333</v>
      </c>
    </row>
    <row customHeight="1" ht="12">
      <c r="A52" s="233" t="s">
        <v>2457</v>
      </c>
      <c r="B52" s="234" t="s">
        <v>2458</v>
      </c>
      <c r="C52" s="233" t="s">
        <v>2457</v>
      </c>
      <c r="D52" s="233"/>
      <c r="E52" s="233"/>
      <c r="F52" s="233"/>
      <c r="G52" s="233"/>
      <c r="H52" s="233"/>
      <c r="I52" s="233"/>
      <c r="J52" s="233"/>
      <c r="K52" s="239" t="s">
        <v>2459</v>
      </c>
      <c r="L52" s="233"/>
      <c r="M52" s="233"/>
      <c r="N52" s="233"/>
      <c r="O52" s="233"/>
      <c r="P52" s="233"/>
      <c r="Q52" s="233"/>
      <c r="R52" s="233"/>
      <c r="AB52" s="869" t="s">
        <v>2460</v>
      </c>
      <c r="AC52" s="1024" t="s">
        <v>2333</v>
      </c>
    </row>
    <row customHeight="1" ht="12">
      <c r="A53" s="233" t="s">
        <v>2461</v>
      </c>
      <c r="B53" s="234" t="s">
        <v>2462</v>
      </c>
      <c r="C53" s="233" t="s">
        <v>2461</v>
      </c>
      <c r="D53" s="233"/>
      <c r="E53" s="233"/>
      <c r="F53" s="233"/>
      <c r="G53" s="233"/>
      <c r="H53" s="233"/>
      <c r="I53" s="233"/>
      <c r="J53" s="233"/>
      <c r="K53" s="233"/>
      <c r="L53" s="233"/>
      <c r="M53" s="233"/>
      <c r="N53" s="233"/>
      <c r="O53" s="233"/>
      <c r="P53" s="233"/>
      <c r="Q53" s="233"/>
      <c r="R53" s="233"/>
      <c r="AB53" s="869" t="s">
        <v>2463</v>
      </c>
      <c r="AC53" s="869" t="s">
        <v>2195</v>
      </c>
    </row>
    <row customHeight="1" ht="12">
      <c r="A54" s="233" t="s">
        <v>2464</v>
      </c>
      <c r="B54" s="234" t="s">
        <v>2465</v>
      </c>
      <c r="C54" s="233" t="s">
        <v>2464</v>
      </c>
      <c r="D54" s="233"/>
      <c r="E54" s="233"/>
      <c r="F54" s="233"/>
      <c r="G54" s="233"/>
      <c r="H54" s="233"/>
      <c r="I54" s="233"/>
      <c r="J54" s="233"/>
      <c r="K54" s="233"/>
      <c r="L54" s="233"/>
      <c r="M54" s="233"/>
      <c r="N54" s="233"/>
      <c r="O54" s="233"/>
      <c r="P54" s="233"/>
      <c r="Q54" s="233"/>
      <c r="R54" s="233"/>
      <c r="AB54" s="868" t="s">
        <v>2466</v>
      </c>
      <c r="AC54" s="869" t="s">
        <v>2195</v>
      </c>
    </row>
    <row customHeight="1" ht="12">
      <c r="A55" s="233" t="s">
        <v>2467</v>
      </c>
      <c r="B55" s="234" t="s">
        <v>2468</v>
      </c>
      <c r="C55" s="233" t="s">
        <v>2467</v>
      </c>
      <c r="D55" s="233"/>
      <c r="E55" s="233"/>
      <c r="F55" s="233"/>
      <c r="G55" s="233"/>
      <c r="H55" s="233"/>
      <c r="I55" s="233"/>
      <c r="J55" s="233"/>
      <c r="K55" s="233"/>
      <c r="L55" s="233"/>
      <c r="M55" s="233"/>
      <c r="N55" s="233"/>
      <c r="O55" s="233"/>
      <c r="P55" s="233"/>
      <c r="Q55" s="233"/>
      <c r="R55" s="233"/>
      <c r="AB55" s="868" t="s">
        <v>2469</v>
      </c>
      <c r="AC55" s="869" t="s">
        <v>2333</v>
      </c>
    </row>
    <row customHeight="1" ht="12">
      <c r="A56" s="233" t="s">
        <v>2470</v>
      </c>
      <c r="B56" s="242" t="s">
        <v>2471</v>
      </c>
      <c r="C56" s="244" t="s">
        <v>2472</v>
      </c>
      <c r="D56" s="233"/>
      <c r="E56" s="233"/>
      <c r="F56" s="233"/>
      <c r="G56" s="233"/>
      <c r="H56" s="233"/>
      <c r="I56" s="233"/>
      <c r="J56" s="233"/>
      <c r="K56" s="233"/>
      <c r="L56" s="233"/>
      <c r="M56" s="233"/>
      <c r="N56" s="233"/>
      <c r="O56" s="233"/>
      <c r="P56" s="233"/>
      <c r="Q56" s="233"/>
      <c r="R56" s="233"/>
      <c r="AB56" s="868" t="s">
        <v>2473</v>
      </c>
      <c r="AC56" s="869" t="s">
        <v>2333</v>
      </c>
    </row>
    <row customHeight="1" ht="12">
      <c r="A57" s="233" t="s">
        <v>2474</v>
      </c>
      <c r="B57" s="234" t="s">
        <v>2475</v>
      </c>
      <c r="C57" s="233" t="s">
        <v>2474</v>
      </c>
      <c r="D57" s="233"/>
      <c r="E57" s="233"/>
      <c r="F57" s="233"/>
      <c r="G57" s="233"/>
      <c r="H57" s="233"/>
      <c r="I57" s="233"/>
      <c r="J57" s="233"/>
      <c r="K57" s="233"/>
      <c r="L57" s="233"/>
      <c r="M57" s="233"/>
      <c r="N57" s="233"/>
      <c r="O57" s="233"/>
      <c r="P57" s="233"/>
      <c r="Q57" s="233"/>
      <c r="R57" s="233"/>
      <c r="AB57" s="868" t="s">
        <v>2476</v>
      </c>
      <c r="AC57" s="869" t="s">
        <v>2195</v>
      </c>
    </row>
    <row customHeight="1" ht="12">
      <c r="A58" s="233" t="s">
        <v>2477</v>
      </c>
      <c r="B58" s="234" t="s">
        <v>2478</v>
      </c>
      <c r="C58" s="233" t="s">
        <v>2477</v>
      </c>
      <c r="D58" s="233"/>
      <c r="E58" s="233"/>
      <c r="F58" s="233"/>
      <c r="G58" s="233"/>
      <c r="H58" s="233"/>
      <c r="I58" s="233"/>
      <c r="J58" s="233"/>
      <c r="K58" s="233"/>
      <c r="L58" s="233"/>
      <c r="M58" s="233"/>
      <c r="N58" s="233"/>
      <c r="O58" s="233"/>
      <c r="P58" s="233"/>
      <c r="Q58" s="233"/>
      <c r="R58" s="233"/>
    </row>
    <row customHeight="1" ht="12">
      <c r="A59" s="233" t="s">
        <v>2479</v>
      </c>
      <c r="B59" s="234" t="s">
        <v>2480</v>
      </c>
      <c r="C59" s="233" t="s">
        <v>2479</v>
      </c>
      <c r="D59" s="233"/>
      <c r="E59" s="233"/>
      <c r="F59" s="233"/>
      <c r="G59" s="233"/>
      <c r="H59" s="233"/>
      <c r="I59" s="233"/>
      <c r="J59" s="233"/>
      <c r="K59" s="233"/>
      <c r="L59" s="233"/>
      <c r="M59" s="233"/>
      <c r="N59" s="233"/>
      <c r="O59" s="233"/>
      <c r="P59" s="233"/>
      <c r="Q59" s="233"/>
      <c r="R59" s="233"/>
    </row>
    <row customHeight="1" ht="12">
      <c r="A60" s="233" t="s">
        <v>2481</v>
      </c>
      <c r="B60" s="234" t="s">
        <v>2482</v>
      </c>
      <c r="C60" s="240" t="s">
        <v>2483</v>
      </c>
      <c r="D60" s="233"/>
      <c r="E60" s="233"/>
      <c r="F60" s="233"/>
      <c r="G60" s="233"/>
      <c r="H60" s="233"/>
      <c r="I60" s="233"/>
      <c r="J60" s="233"/>
      <c r="K60" s="233"/>
      <c r="L60" s="233"/>
      <c r="M60" s="233"/>
      <c r="N60" s="233"/>
      <c r="O60" s="233"/>
      <c r="P60" s="233"/>
      <c r="Q60" s="233"/>
      <c r="R60" s="233"/>
    </row>
    <row customHeight="1" ht="12">
      <c r="A61" s="233" t="s">
        <v>2484</v>
      </c>
      <c r="B61" s="234" t="s">
        <v>2485</v>
      </c>
      <c r="C61" s="233" t="s">
        <v>2484</v>
      </c>
      <c r="D61" s="233"/>
      <c r="E61" s="233"/>
      <c r="F61" s="233"/>
      <c r="G61" s="233"/>
      <c r="H61" s="233"/>
      <c r="I61" s="233"/>
      <c r="J61" s="233"/>
      <c r="K61" s="233"/>
      <c r="L61" s="233"/>
      <c r="M61" s="233"/>
      <c r="N61" s="233"/>
      <c r="O61" s="233"/>
      <c r="P61" s="233"/>
      <c r="Q61" s="233"/>
      <c r="R61" s="233"/>
    </row>
    <row customHeight="1" ht="12">
      <c r="A62" s="233" t="s">
        <v>2486</v>
      </c>
      <c r="B62" s="234" t="s">
        <v>2487</v>
      </c>
      <c r="C62" s="240" t="s">
        <v>2488</v>
      </c>
      <c r="D62" s="233"/>
      <c r="E62" s="233"/>
      <c r="F62" s="233"/>
      <c r="G62" s="233"/>
      <c r="H62" s="233"/>
      <c r="I62" s="233"/>
      <c r="J62" s="233"/>
      <c r="K62" s="233"/>
      <c r="L62" s="233"/>
      <c r="M62" s="233"/>
      <c r="N62" s="233"/>
      <c r="O62" s="233"/>
      <c r="P62" s="233"/>
      <c r="Q62" s="233"/>
      <c r="R62" s="233"/>
    </row>
    <row customHeight="1" ht="12">
      <c r="A63" s="233" t="s">
        <v>2489</v>
      </c>
      <c r="B63" s="234" t="s">
        <v>2490</v>
      </c>
      <c r="C63" s="233" t="s">
        <v>2489</v>
      </c>
      <c r="D63" s="233"/>
      <c r="E63" s="233"/>
      <c r="F63" s="233"/>
      <c r="G63" s="233"/>
      <c r="H63" s="233"/>
      <c r="I63" s="233"/>
      <c r="J63" s="233"/>
      <c r="K63" s="233"/>
      <c r="L63" s="233"/>
      <c r="M63" s="233"/>
      <c r="N63" s="233"/>
      <c r="O63" s="233"/>
      <c r="P63" s="233"/>
      <c r="Q63" s="233"/>
      <c r="R63" s="233"/>
    </row>
    <row customHeight="1" ht="12">
      <c r="A64" s="233" t="s">
        <v>2491</v>
      </c>
      <c r="B64" s="234" t="s">
        <v>2492</v>
      </c>
      <c r="C64" s="233" t="s">
        <v>2491</v>
      </c>
      <c r="D64" s="233"/>
      <c r="E64" s="233"/>
      <c r="F64" s="233"/>
      <c r="G64" s="233"/>
      <c r="H64" s="233"/>
      <c r="I64" s="233"/>
      <c r="J64" s="233"/>
      <c r="K64" s="233"/>
      <c r="L64" s="233"/>
      <c r="M64" s="233"/>
      <c r="N64" s="233"/>
      <c r="O64" s="233"/>
      <c r="P64" s="233"/>
      <c r="Q64" s="233"/>
      <c r="R64" s="233"/>
    </row>
    <row customHeight="1" ht="12">
      <c r="A65" s="233" t="s">
        <v>2493</v>
      </c>
      <c r="B65" s="234" t="s">
        <v>2494</v>
      </c>
      <c r="C65" s="233" t="s">
        <v>2493</v>
      </c>
      <c r="D65" s="233"/>
      <c r="E65" s="233"/>
      <c r="F65" s="233"/>
      <c r="G65" s="233"/>
      <c r="H65" s="233"/>
      <c r="I65" s="233"/>
      <c r="J65" s="233"/>
      <c r="K65" s="233"/>
      <c r="L65" s="233"/>
      <c r="M65" s="233"/>
      <c r="N65" s="233"/>
      <c r="O65" s="233"/>
      <c r="P65" s="233"/>
      <c r="Q65" s="233"/>
      <c r="R65" s="233"/>
    </row>
    <row customHeight="1" ht="12">
      <c r="A66" s="233" t="s">
        <v>2495</v>
      </c>
      <c r="B66" s="234" t="s">
        <v>2496</v>
      </c>
      <c r="C66" s="233" t="s">
        <v>2495</v>
      </c>
      <c r="D66" s="233"/>
      <c r="E66" s="233"/>
      <c r="F66" s="233"/>
      <c r="G66" s="233"/>
      <c r="H66" s="233"/>
      <c r="I66" s="233"/>
      <c r="J66" s="233"/>
      <c r="K66" s="233"/>
      <c r="L66" s="233"/>
      <c r="M66" s="233"/>
      <c r="N66" s="233"/>
      <c r="O66" s="233"/>
      <c r="P66" s="233"/>
      <c r="Q66" s="233"/>
      <c r="R66" s="233"/>
    </row>
    <row customHeight="1" ht="12">
      <c r="A67" s="233" t="s">
        <v>2497</v>
      </c>
      <c r="B67" s="234" t="s">
        <v>2498</v>
      </c>
      <c r="C67" s="233" t="s">
        <v>2497</v>
      </c>
      <c r="D67" s="233"/>
      <c r="E67" s="233"/>
      <c r="F67" s="233"/>
      <c r="G67" s="233"/>
      <c r="H67" s="233"/>
      <c r="I67" s="233"/>
      <c r="J67" s="233"/>
      <c r="K67" s="233"/>
      <c r="L67" s="233"/>
      <c r="M67" s="233"/>
      <c r="N67" s="233"/>
      <c r="O67" s="233"/>
      <c r="P67" s="233"/>
      <c r="Q67" s="233"/>
      <c r="R67" s="233"/>
    </row>
    <row customHeight="1" ht="12">
      <c r="A68" s="233" t="s">
        <v>2499</v>
      </c>
      <c r="B68" s="234" t="s">
        <v>2500</v>
      </c>
      <c r="C68" s="233" t="s">
        <v>2499</v>
      </c>
      <c r="D68" s="233"/>
      <c r="E68" s="233"/>
      <c r="F68" s="233"/>
      <c r="G68" s="233"/>
      <c r="H68" s="233"/>
      <c r="I68" s="233"/>
      <c r="J68" s="233"/>
      <c r="K68" s="233"/>
      <c r="L68" s="233"/>
      <c r="M68" s="233"/>
      <c r="N68" s="233"/>
      <c r="O68" s="233"/>
      <c r="P68" s="233"/>
      <c r="Q68" s="233"/>
      <c r="R68" s="233"/>
    </row>
    <row customHeight="1" ht="12">
      <c r="A69" s="233" t="s">
        <v>2501</v>
      </c>
      <c r="B69" s="234" t="s">
        <v>2502</v>
      </c>
      <c r="C69" s="233" t="s">
        <v>2501</v>
      </c>
      <c r="D69" s="233"/>
      <c r="E69" s="233"/>
      <c r="F69" s="233"/>
      <c r="G69" s="233"/>
      <c r="H69" s="233"/>
      <c r="I69" s="233"/>
      <c r="J69" s="233"/>
      <c r="K69" s="233"/>
      <c r="L69" s="233"/>
      <c r="M69" s="233"/>
      <c r="N69" s="233"/>
      <c r="O69" s="233"/>
      <c r="P69" s="233"/>
      <c r="Q69" s="233"/>
      <c r="R69" s="233"/>
    </row>
    <row customHeight="1" ht="12">
      <c r="A70" s="233" t="s">
        <v>2503</v>
      </c>
      <c r="B70" s="234" t="s">
        <v>2504</v>
      </c>
      <c r="C70" s="233" t="s">
        <v>2503</v>
      </c>
      <c r="D70" s="233"/>
      <c r="E70" s="233"/>
      <c r="F70" s="233"/>
      <c r="G70" s="233"/>
      <c r="H70" s="233"/>
      <c r="I70" s="233"/>
      <c r="J70" s="233"/>
      <c r="K70" s="233"/>
      <c r="L70" s="233"/>
      <c r="M70" s="233"/>
      <c r="N70" s="233"/>
      <c r="O70" s="233"/>
      <c r="P70" s="233"/>
      <c r="Q70" s="233"/>
      <c r="R70" s="233"/>
    </row>
    <row customHeight="1" ht="12">
      <c r="A71" s="233" t="s">
        <v>2505</v>
      </c>
      <c r="B71" s="234" t="s">
        <v>2506</v>
      </c>
      <c r="C71" s="233" t="s">
        <v>2505</v>
      </c>
      <c r="D71" s="233"/>
      <c r="E71" s="233"/>
      <c r="F71" s="233"/>
      <c r="G71" s="233"/>
      <c r="H71" s="233"/>
      <c r="I71" s="233"/>
      <c r="J71" s="233"/>
      <c r="K71" s="233"/>
      <c r="L71" s="233"/>
      <c r="M71" s="233"/>
      <c r="N71" s="233"/>
      <c r="O71" s="233"/>
      <c r="P71" s="233"/>
      <c r="Q71" s="233"/>
      <c r="R71" s="233"/>
    </row>
    <row customHeight="1" ht="12">
      <c r="A72" s="233" t="s">
        <v>2507</v>
      </c>
      <c r="B72" s="234" t="s">
        <v>2508</v>
      </c>
      <c r="C72" s="233" t="s">
        <v>2507</v>
      </c>
      <c r="D72" s="233"/>
      <c r="E72" s="233"/>
      <c r="F72" s="233"/>
      <c r="G72" s="233"/>
      <c r="H72" s="233"/>
      <c r="I72" s="233"/>
      <c r="J72" s="233"/>
      <c r="K72" s="233"/>
      <c r="L72" s="233"/>
      <c r="M72" s="233"/>
      <c r="N72" s="233"/>
      <c r="O72" s="233"/>
      <c r="P72" s="233"/>
      <c r="Q72" s="233"/>
      <c r="R72" s="233"/>
    </row>
    <row customHeight="1" ht="12">
      <c r="A73" s="233" t="s">
        <v>2509</v>
      </c>
      <c r="B73" s="234" t="s">
        <v>2510</v>
      </c>
      <c r="C73" s="233" t="s">
        <v>2509</v>
      </c>
      <c r="D73" s="233"/>
      <c r="E73" s="233"/>
      <c r="F73" s="233"/>
      <c r="G73" s="233"/>
      <c r="H73" s="233"/>
      <c r="I73" s="233"/>
      <c r="J73" s="233"/>
      <c r="K73" s="233"/>
      <c r="L73" s="233"/>
      <c r="M73" s="233"/>
      <c r="N73" s="233"/>
      <c r="O73" s="233"/>
      <c r="P73" s="233"/>
      <c r="Q73" s="233"/>
      <c r="R73" s="233"/>
    </row>
    <row customHeight="1" ht="12">
      <c r="A74" s="233" t="s">
        <v>2511</v>
      </c>
      <c r="B74" s="234" t="s">
        <v>2512</v>
      </c>
      <c r="C74" s="233" t="s">
        <v>2511</v>
      </c>
      <c r="D74" s="233"/>
      <c r="E74" s="233"/>
      <c r="F74" s="233"/>
      <c r="G74" s="233"/>
      <c r="H74" s="233"/>
      <c r="I74" s="233"/>
      <c r="J74" s="233"/>
      <c r="K74" s="233"/>
      <c r="L74" s="233"/>
      <c r="M74" s="233"/>
      <c r="N74" s="233"/>
      <c r="O74" s="233"/>
      <c r="P74" s="233"/>
      <c r="Q74" s="233"/>
      <c r="R74" s="233"/>
    </row>
    <row customHeight="1" ht="12">
      <c r="A75" s="233" t="s">
        <v>2513</v>
      </c>
      <c r="B75" s="234" t="s">
        <v>2514</v>
      </c>
      <c r="C75" s="233" t="s">
        <v>2513</v>
      </c>
      <c r="D75" s="233"/>
      <c r="E75" s="233"/>
      <c r="F75" s="233"/>
      <c r="G75" s="233"/>
      <c r="H75" s="233"/>
      <c r="I75" s="233"/>
      <c r="J75" s="233"/>
      <c r="K75" s="233"/>
      <c r="L75" s="233"/>
      <c r="M75" s="233"/>
      <c r="N75" s="233"/>
      <c r="O75" s="233"/>
      <c r="P75" s="233"/>
      <c r="Q75" s="233"/>
      <c r="R75" s="233"/>
    </row>
    <row customHeight="1" ht="12">
      <c r="A76" s="233" t="s">
        <v>2515</v>
      </c>
      <c r="B76" s="234" t="s">
        <v>2516</v>
      </c>
      <c r="C76" s="233" t="s">
        <v>2515</v>
      </c>
      <c r="D76" s="233"/>
      <c r="E76" s="233"/>
      <c r="F76" s="233"/>
      <c r="G76" s="233"/>
      <c r="H76" s="233"/>
      <c r="I76" s="233"/>
      <c r="J76" s="233"/>
      <c r="K76" s="233"/>
      <c r="L76" s="233"/>
      <c r="M76" s="233"/>
      <c r="N76" s="233"/>
      <c r="O76" s="233"/>
      <c r="P76" s="233"/>
      <c r="Q76" s="233"/>
      <c r="R76" s="233"/>
    </row>
    <row customHeight="1" ht="12">
      <c r="A77" s="233" t="s">
        <v>2517</v>
      </c>
      <c r="B77" s="234" t="s">
        <v>2518</v>
      </c>
      <c r="C77" s="240" t="s">
        <v>2519</v>
      </c>
      <c r="D77" s="233"/>
      <c r="E77" s="233"/>
      <c r="F77" s="233"/>
      <c r="G77" s="233"/>
      <c r="H77" s="233"/>
      <c r="I77" s="233"/>
      <c r="J77" s="233"/>
      <c r="K77" s="233"/>
      <c r="L77" s="233"/>
      <c r="M77" s="233"/>
      <c r="N77" s="233"/>
      <c r="O77" s="233"/>
      <c r="P77" s="233"/>
      <c r="Q77" s="233"/>
      <c r="R77" s="233"/>
    </row>
    <row customHeight="1" ht="12">
      <c r="A78" s="233" t="s">
        <v>114</v>
      </c>
      <c r="B78" s="234" t="s">
        <v>2520</v>
      </c>
      <c r="C78" s="233" t="s">
        <v>114</v>
      </c>
      <c r="D78" s="233"/>
      <c r="E78" s="233"/>
      <c r="F78" s="233"/>
      <c r="G78" s="233"/>
      <c r="H78" s="233"/>
      <c r="I78" s="233"/>
      <c r="J78" s="233"/>
      <c r="K78" s="233"/>
      <c r="L78" s="233"/>
      <c r="M78" s="233"/>
      <c r="N78" s="233"/>
      <c r="O78" s="233"/>
      <c r="P78" s="233"/>
      <c r="Q78" s="233"/>
      <c r="R78" s="233"/>
    </row>
    <row customHeight="1" ht="12">
      <c r="A79" s="233" t="s">
        <v>2521</v>
      </c>
      <c r="B79" s="234" t="s">
        <v>2522</v>
      </c>
      <c r="C79" s="233" t="s">
        <v>2521</v>
      </c>
      <c r="D79" s="233"/>
      <c r="E79" s="233"/>
      <c r="F79" s="233"/>
      <c r="G79" s="233"/>
      <c r="H79" s="233"/>
      <c r="I79" s="233"/>
      <c r="J79" s="233"/>
      <c r="K79" s="233"/>
      <c r="L79" s="233"/>
      <c r="M79" s="233"/>
      <c r="N79" s="233"/>
      <c r="O79" s="233"/>
      <c r="P79" s="233"/>
      <c r="Q79" s="233"/>
      <c r="R79" s="233"/>
    </row>
    <row customHeight="1" ht="12">
      <c r="A80" s="233" t="s">
        <v>2523</v>
      </c>
      <c r="B80" s="234" t="s">
        <v>2524</v>
      </c>
      <c r="C80" s="233" t="s">
        <v>2523</v>
      </c>
      <c r="D80" s="233"/>
      <c r="E80" s="233"/>
      <c r="F80" s="233"/>
      <c r="G80" s="233"/>
      <c r="H80" s="233"/>
      <c r="I80" s="233"/>
      <c r="J80" s="233"/>
      <c r="K80" s="233"/>
      <c r="L80" s="233"/>
      <c r="M80" s="233"/>
      <c r="N80" s="233"/>
      <c r="O80" s="233"/>
      <c r="P80" s="233"/>
      <c r="Q80" s="233"/>
      <c r="R80" s="233"/>
    </row>
    <row customHeight="1" ht="12">
      <c r="A81" s="233" t="s">
        <v>2525</v>
      </c>
      <c r="B81" s="234" t="s">
        <v>2526</v>
      </c>
      <c r="C81" s="233" t="s">
        <v>2525</v>
      </c>
      <c r="D81" s="233"/>
      <c r="E81" s="233"/>
      <c r="F81" s="233"/>
      <c r="G81" s="233"/>
      <c r="H81" s="233"/>
      <c r="I81" s="233"/>
      <c r="J81" s="233"/>
      <c r="K81" s="233"/>
      <c r="L81" s="233"/>
      <c r="M81" s="233"/>
      <c r="N81" s="233"/>
      <c r="O81" s="233"/>
      <c r="P81" s="233"/>
      <c r="Q81" s="233"/>
      <c r="R81" s="233"/>
    </row>
    <row customHeight="1" ht="12">
      <c r="A82" s="233" t="s">
        <v>2527</v>
      </c>
      <c r="B82" s="234" t="s">
        <v>2528</v>
      </c>
      <c r="C82" s="240" t="s">
        <v>2529</v>
      </c>
      <c r="D82" s="233"/>
      <c r="E82" s="233"/>
      <c r="F82" s="233"/>
      <c r="G82" s="233"/>
      <c r="H82" s="233"/>
      <c r="I82" s="233"/>
      <c r="J82" s="233"/>
      <c r="K82" s="233"/>
      <c r="L82" s="233"/>
      <c r="M82" s="233"/>
      <c r="N82" s="233"/>
      <c r="O82" s="233"/>
      <c r="P82" s="233"/>
      <c r="Q82" s="233"/>
      <c r="R82" s="233"/>
    </row>
    <row customHeight="1" ht="12">
      <c r="A83" s="233" t="s">
        <v>2530</v>
      </c>
      <c r="B83" s="234" t="s">
        <v>2531</v>
      </c>
      <c r="C83" s="240" t="s">
        <v>2532</v>
      </c>
      <c r="D83" s="233"/>
      <c r="E83" s="233"/>
      <c r="F83" s="233"/>
      <c r="G83" s="233"/>
      <c r="H83" s="233"/>
      <c r="I83" s="233"/>
      <c r="J83" s="233"/>
      <c r="K83" s="233"/>
      <c r="L83" s="233"/>
      <c r="M83" s="233"/>
      <c r="N83" s="233"/>
      <c r="O83" s="233"/>
      <c r="P83" s="233"/>
      <c r="Q83" s="233"/>
      <c r="R83" s="233"/>
    </row>
    <row customHeight="1" ht="12">
      <c r="A84" s="233" t="s">
        <v>2533</v>
      </c>
      <c r="B84" s="234" t="s">
        <v>2534</v>
      </c>
      <c r="C84" s="233" t="s">
        <v>2533</v>
      </c>
      <c r="D84" s="233"/>
      <c r="E84" s="233"/>
      <c r="F84" s="233"/>
      <c r="G84" s="233"/>
      <c r="H84" s="233"/>
      <c r="I84" s="233"/>
      <c r="J84" s="233"/>
      <c r="K84" s="233"/>
      <c r="L84" s="233"/>
      <c r="M84" s="233"/>
      <c r="N84" s="233"/>
      <c r="O84" s="233"/>
      <c r="P84" s="233"/>
      <c r="Q84" s="233"/>
      <c r="R84" s="233"/>
    </row>
    <row customHeight="1" ht="12">
      <c r="A85" s="233" t="s">
        <v>2535</v>
      </c>
      <c r="B85" s="234" t="s">
        <v>2536</v>
      </c>
      <c r="C85" s="233" t="s">
        <v>2535</v>
      </c>
      <c r="D85" s="233"/>
      <c r="E85" s="233"/>
      <c r="F85" s="233"/>
      <c r="G85" s="233"/>
      <c r="H85" s="233"/>
      <c r="I85" s="233"/>
      <c r="J85" s="233"/>
      <c r="K85" s="233"/>
      <c r="L85" s="233"/>
      <c r="M85" s="233"/>
      <c r="N85" s="233"/>
      <c r="O85" s="233"/>
      <c r="P85" s="233"/>
      <c r="Q85" s="233"/>
      <c r="R85" s="233"/>
    </row>
    <row customHeight="1" ht="12">
      <c r="A86" s="233" t="s">
        <v>2537</v>
      </c>
      <c r="B86" s="234" t="s">
        <v>2538</v>
      </c>
      <c r="C86" s="233" t="s">
        <v>2537</v>
      </c>
      <c r="D86" s="233"/>
      <c r="E86" s="233"/>
      <c r="F86" s="233"/>
      <c r="G86" s="233"/>
      <c r="H86" s="233"/>
      <c r="I86" s="233"/>
      <c r="J86" s="233"/>
      <c r="K86" s="233"/>
      <c r="L86" s="233"/>
      <c r="M86" s="233"/>
      <c r="N86" s="233"/>
      <c r="O86" s="233"/>
      <c r="P86" s="233"/>
      <c r="Q86" s="233"/>
      <c r="R86" s="233"/>
    </row>
    <row customHeight="1" ht="12">
      <c r="A87" s="234"/>
      <c r="B87" s="245"/>
      <c r="C87" s="246" t="s">
        <v>2403</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2166</v>
      </c>
      <c r="B90" s="234" t="s">
        <v>2539</v>
      </c>
      <c r="C90" s="233"/>
      <c r="D90" s="233"/>
      <c r="E90" s="233"/>
      <c r="F90" s="233"/>
      <c r="G90" s="233"/>
      <c r="H90" s="233"/>
      <c r="I90" s="233"/>
      <c r="J90" s="233"/>
      <c r="K90" s="233"/>
      <c r="L90" s="233"/>
      <c r="M90" s="233"/>
      <c r="N90" s="233"/>
      <c r="O90" s="233"/>
      <c r="P90" s="233"/>
      <c r="Q90" s="233"/>
      <c r="R90" s="233"/>
    </row>
    <row customHeight="1" ht="12">
      <c r="A91" s="233" t="s">
        <v>2185</v>
      </c>
      <c r="B91" s="234" t="s">
        <v>2540</v>
      </c>
      <c r="C91" s="233"/>
      <c r="D91" s="233"/>
      <c r="E91" s="233"/>
      <c r="F91" s="233"/>
      <c r="G91" s="233"/>
      <c r="H91" s="233"/>
      <c r="I91" s="233"/>
      <c r="J91" s="233"/>
      <c r="K91" s="233"/>
      <c r="L91" s="233"/>
      <c r="M91" s="233"/>
      <c r="N91" s="233"/>
      <c r="O91" s="233"/>
      <c r="P91" s="233"/>
      <c r="Q91" s="233"/>
      <c r="R91" s="233"/>
    </row>
    <row customHeight="1" ht="12">
      <c r="A92" s="233" t="s">
        <v>2196</v>
      </c>
      <c r="B92" s="234" t="s">
        <v>2541</v>
      </c>
      <c r="C92" s="233"/>
      <c r="D92" s="233"/>
      <c r="E92" s="233"/>
      <c r="F92" s="233"/>
      <c r="G92" s="233"/>
      <c r="H92" s="233"/>
      <c r="I92" s="233"/>
      <c r="J92" s="233"/>
      <c r="K92" s="233"/>
      <c r="L92" s="233"/>
      <c r="M92" s="233"/>
      <c r="N92" s="233"/>
      <c r="O92" s="233"/>
      <c r="P92" s="233"/>
      <c r="Q92" s="233"/>
      <c r="R92" s="233"/>
    </row>
    <row customHeight="1" ht="12">
      <c r="A93" s="233" t="s">
        <v>2207</v>
      </c>
      <c r="B93" s="234" t="s">
        <v>2542</v>
      </c>
      <c r="C93" s="233"/>
      <c r="D93" s="233"/>
      <c r="E93" s="233"/>
      <c r="F93" s="233"/>
      <c r="G93" s="233"/>
      <c r="H93" s="233"/>
      <c r="I93" s="233"/>
      <c r="J93" s="233"/>
      <c r="K93" s="233"/>
      <c r="L93" s="233"/>
      <c r="M93" s="233"/>
      <c r="N93" s="233"/>
      <c r="O93" s="233"/>
      <c r="P93" s="233"/>
      <c r="Q93" s="233"/>
      <c r="R93" s="233"/>
    </row>
    <row customHeight="1" ht="12">
      <c r="A94" s="233" t="s">
        <v>2216</v>
      </c>
      <c r="B94" s="234" t="s">
        <v>2543</v>
      </c>
      <c r="C94" s="233"/>
      <c r="D94" s="233"/>
      <c r="E94" s="233"/>
      <c r="F94" s="233"/>
      <c r="G94" s="233"/>
      <c r="H94" s="233"/>
      <c r="I94" s="233"/>
      <c r="J94" s="233"/>
      <c r="K94" s="233"/>
      <c r="L94" s="233"/>
      <c r="M94" s="233"/>
      <c r="N94" s="233"/>
      <c r="O94" s="233"/>
      <c r="P94" s="233"/>
      <c r="Q94" s="233"/>
      <c r="R94" s="233"/>
    </row>
    <row customHeight="1" ht="12">
      <c r="A95" s="233" t="s">
        <v>2226</v>
      </c>
      <c r="B95" s="234" t="s">
        <v>2544</v>
      </c>
      <c r="C95" s="233"/>
      <c r="D95" s="233"/>
      <c r="E95" s="233"/>
      <c r="F95" s="233"/>
      <c r="G95" s="233"/>
      <c r="H95" s="233"/>
      <c r="I95" s="233"/>
      <c r="J95" s="233"/>
      <c r="K95" s="233"/>
      <c r="L95" s="233"/>
      <c r="M95" s="233"/>
      <c r="N95" s="233"/>
      <c r="O95" s="233"/>
      <c r="P95" s="233"/>
      <c r="Q95" s="233"/>
      <c r="R95" s="233"/>
    </row>
    <row customHeight="1" ht="12">
      <c r="A96" s="233" t="s">
        <v>2235</v>
      </c>
      <c r="B96" s="234" t="s">
        <v>2545</v>
      </c>
      <c r="C96" s="233"/>
      <c r="D96" s="233"/>
      <c r="E96" s="233"/>
      <c r="F96" s="233"/>
      <c r="G96" s="233"/>
      <c r="H96" s="233"/>
      <c r="I96" s="233"/>
      <c r="J96" s="233"/>
      <c r="K96" s="233"/>
      <c r="L96" s="233"/>
      <c r="M96" s="233"/>
      <c r="N96" s="233"/>
      <c r="O96" s="233"/>
      <c r="P96" s="233"/>
      <c r="Q96" s="233"/>
      <c r="R96" s="233"/>
    </row>
    <row customHeight="1" ht="12">
      <c r="A97" s="233" t="s">
        <v>2245</v>
      </c>
      <c r="B97" s="234" t="s">
        <v>2546</v>
      </c>
      <c r="C97" s="233"/>
      <c r="D97" s="233"/>
      <c r="E97" s="233"/>
      <c r="F97" s="233"/>
      <c r="G97" s="233"/>
      <c r="H97" s="233"/>
      <c r="I97" s="233"/>
      <c r="J97" s="233"/>
      <c r="K97" s="233"/>
      <c r="L97" s="233"/>
      <c r="M97" s="233"/>
      <c r="N97" s="233"/>
      <c r="O97" s="233"/>
      <c r="P97" s="233"/>
      <c r="Q97" s="233"/>
      <c r="R97" s="233"/>
    </row>
    <row customHeight="1" ht="12">
      <c r="A98" s="233" t="s">
        <v>2253</v>
      </c>
      <c r="B98" s="234" t="s">
        <v>2547</v>
      </c>
      <c r="C98" s="233"/>
      <c r="D98" s="233"/>
      <c r="E98" s="233"/>
      <c r="F98" s="233"/>
      <c r="G98" s="233"/>
      <c r="H98" s="233"/>
      <c r="I98" s="233"/>
      <c r="J98" s="233"/>
      <c r="K98" s="233"/>
      <c r="L98" s="233"/>
      <c r="M98" s="233"/>
      <c r="N98" s="233"/>
      <c r="O98" s="233"/>
      <c r="P98" s="233"/>
      <c r="Q98" s="233"/>
      <c r="R98" s="233"/>
    </row>
    <row customHeight="1" ht="12">
      <c r="A99" s="233" t="s">
        <v>2261</v>
      </c>
      <c r="B99" s="234" t="s">
        <v>2548</v>
      </c>
      <c r="C99" s="233"/>
      <c r="D99" s="233"/>
      <c r="E99" s="233"/>
      <c r="F99" s="233"/>
      <c r="G99" s="233"/>
      <c r="H99" s="233"/>
      <c r="I99" s="233"/>
      <c r="J99" s="233"/>
      <c r="K99" s="233"/>
      <c r="L99" s="233"/>
      <c r="M99" s="233"/>
      <c r="N99" s="233"/>
      <c r="O99" s="233"/>
      <c r="P99" s="233"/>
      <c r="Q99" s="233"/>
      <c r="R99" s="233"/>
    </row>
    <row customHeight="1" ht="12">
      <c r="A100" s="333" t="s">
        <v>2268</v>
      </c>
      <c r="B100" s="234" t="s">
        <v>2549</v>
      </c>
      <c r="C100" s="233"/>
      <c r="D100" s="233"/>
      <c r="E100" s="233"/>
      <c r="F100" s="233"/>
      <c r="G100" s="233"/>
      <c r="H100" s="233"/>
      <c r="I100" s="233"/>
      <c r="J100" s="233"/>
      <c r="K100" s="233"/>
      <c r="L100" s="233"/>
      <c r="M100" s="233"/>
      <c r="N100" s="233"/>
      <c r="O100" s="247"/>
      <c r="P100" s="233"/>
      <c r="Q100" s="233"/>
      <c r="R100" s="233"/>
    </row>
    <row customHeight="1" ht="12">
      <c r="A101" s="333" t="s">
        <v>2277</v>
      </c>
      <c r="B101" s="234" t="s">
        <v>2550</v>
      </c>
      <c r="C101" s="233"/>
      <c r="D101" s="233"/>
      <c r="E101" s="233"/>
      <c r="F101" s="233"/>
      <c r="G101" s="233"/>
      <c r="H101" s="233"/>
      <c r="I101" s="233"/>
      <c r="J101" s="233"/>
      <c r="K101" s="233"/>
      <c r="L101" s="233"/>
      <c r="M101" s="233"/>
      <c r="N101" s="233"/>
      <c r="O101" s="247"/>
      <c r="P101" s="233"/>
      <c r="Q101" s="233"/>
      <c r="R101" s="233"/>
    </row>
    <row customHeight="1" ht="12">
      <c r="A102" s="333" t="s">
        <v>2284</v>
      </c>
      <c r="B102" s="234" t="s">
        <v>2551</v>
      </c>
      <c r="C102" s="233"/>
      <c r="D102" s="233"/>
      <c r="E102" s="233"/>
      <c r="F102" s="233"/>
      <c r="G102" s="233"/>
      <c r="H102" s="233"/>
      <c r="I102" s="233"/>
      <c r="J102" s="233"/>
      <c r="K102" s="233"/>
      <c r="L102" s="233"/>
      <c r="M102" s="233"/>
      <c r="N102" s="233"/>
      <c r="O102" s="247"/>
      <c r="P102" s="233"/>
      <c r="Q102" s="233"/>
      <c r="R102" s="233"/>
    </row>
    <row customHeight="1" ht="12">
      <c r="A103" s="333" t="s">
        <v>2292</v>
      </c>
      <c r="B103" s="234" t="s">
        <v>2552</v>
      </c>
      <c r="C103" s="233"/>
      <c r="D103" s="233"/>
      <c r="E103" s="233"/>
      <c r="F103" s="233"/>
      <c r="G103" s="233"/>
      <c r="H103" s="233"/>
      <c r="I103" s="233"/>
      <c r="J103" s="233"/>
      <c r="K103" s="233"/>
      <c r="L103" s="233"/>
      <c r="M103" s="233"/>
      <c r="N103" s="233"/>
      <c r="O103" s="247"/>
      <c r="P103" s="233"/>
      <c r="Q103" s="233"/>
      <c r="R103" s="233"/>
    </row>
    <row customHeight="1" ht="12">
      <c r="A104" s="233" t="s">
        <v>2300</v>
      </c>
      <c r="B104" s="234" t="s">
        <v>2553</v>
      </c>
      <c r="C104" s="233"/>
      <c r="D104" s="233"/>
      <c r="E104" s="233"/>
      <c r="F104" s="233"/>
      <c r="G104" s="233"/>
      <c r="H104" s="233"/>
      <c r="I104" s="233"/>
      <c r="J104" s="233"/>
      <c r="K104" s="233"/>
      <c r="L104" s="233"/>
      <c r="M104" s="233"/>
      <c r="N104" s="233"/>
      <c r="O104" s="247"/>
      <c r="P104" s="233"/>
      <c r="Q104" s="233"/>
      <c r="R104" s="233"/>
    </row>
    <row customHeight="1" ht="12">
      <c r="A105" s="233" t="s">
        <v>2304</v>
      </c>
      <c r="B105" s="234" t="s">
        <v>2554</v>
      </c>
      <c r="C105" s="233"/>
      <c r="D105" s="233"/>
      <c r="E105" s="233"/>
      <c r="F105" s="233"/>
      <c r="G105" s="233"/>
      <c r="H105" s="233"/>
      <c r="I105" s="233"/>
      <c r="J105" s="233"/>
      <c r="K105" s="233"/>
      <c r="L105" s="233"/>
      <c r="M105" s="233"/>
      <c r="N105" s="233"/>
      <c r="O105" s="247"/>
      <c r="P105" s="233"/>
      <c r="Q105" s="233"/>
      <c r="R105" s="233"/>
    </row>
    <row customHeight="1" ht="12">
      <c r="A106" s="233" t="s">
        <v>2310</v>
      </c>
      <c r="B106" s="234" t="s">
        <v>2555</v>
      </c>
      <c r="C106" s="233"/>
      <c r="D106" s="233"/>
      <c r="E106" s="233"/>
      <c r="F106" s="233"/>
      <c r="G106" s="233"/>
      <c r="H106" s="233"/>
      <c r="I106" s="233"/>
      <c r="J106" s="233"/>
      <c r="K106" s="233"/>
      <c r="L106" s="233"/>
      <c r="M106" s="233"/>
      <c r="N106" s="233"/>
      <c r="O106" s="247"/>
      <c r="P106" s="233"/>
      <c r="Q106" s="233"/>
      <c r="R106" s="233"/>
    </row>
    <row customHeight="1" ht="12">
      <c r="A107" s="233" t="s">
        <v>2313</v>
      </c>
      <c r="B107" s="234" t="s">
        <v>2556</v>
      </c>
      <c r="C107" s="233"/>
      <c r="D107" s="233"/>
      <c r="E107" s="233"/>
      <c r="F107" s="233"/>
      <c r="G107" s="233"/>
      <c r="H107" s="233"/>
      <c r="I107" s="233"/>
      <c r="J107" s="233"/>
      <c r="K107" s="233"/>
      <c r="L107" s="233"/>
      <c r="M107" s="233"/>
      <c r="N107" s="233"/>
      <c r="O107" s="247"/>
      <c r="P107" s="233"/>
      <c r="Q107" s="233"/>
      <c r="R107" s="233"/>
    </row>
    <row customHeight="1" ht="12">
      <c r="A108" s="233" t="s">
        <v>2319</v>
      </c>
      <c r="B108" s="234" t="s">
        <v>2557</v>
      </c>
      <c r="C108" s="233"/>
      <c r="D108" s="233"/>
      <c r="E108" s="233"/>
      <c r="F108" s="233"/>
      <c r="G108" s="233"/>
      <c r="H108" s="233"/>
      <c r="I108" s="233"/>
      <c r="J108" s="233"/>
      <c r="K108" s="233"/>
      <c r="L108" s="233"/>
      <c r="M108" s="247"/>
      <c r="N108" s="233"/>
      <c r="O108" s="247"/>
      <c r="P108" s="233"/>
      <c r="Q108" s="233"/>
      <c r="R108" s="233"/>
    </row>
    <row customHeight="1" ht="12">
      <c r="A109" s="233" t="s">
        <v>2324</v>
      </c>
      <c r="B109" s="234" t="s">
        <v>2558</v>
      </c>
      <c r="C109" s="233"/>
      <c r="D109" s="233"/>
      <c r="E109" s="233"/>
      <c r="F109" s="233"/>
      <c r="G109" s="233"/>
      <c r="H109" s="233"/>
      <c r="I109" s="233"/>
      <c r="J109" s="233"/>
      <c r="K109" s="233"/>
      <c r="L109" s="233"/>
      <c r="M109" s="247"/>
      <c r="N109" s="233"/>
      <c r="O109" s="247"/>
      <c r="P109" s="233"/>
      <c r="Q109" s="233"/>
      <c r="R109" s="233"/>
    </row>
    <row customHeight="1" ht="12">
      <c r="A110" s="233" t="s">
        <v>2329</v>
      </c>
      <c r="B110" s="234" t="s">
        <v>2559</v>
      </c>
      <c r="C110" s="233"/>
      <c r="D110" s="233"/>
      <c r="E110" s="233"/>
      <c r="F110" s="233"/>
      <c r="G110" s="233"/>
      <c r="H110" s="233"/>
      <c r="I110" s="233"/>
      <c r="J110" s="233"/>
      <c r="K110" s="233"/>
      <c r="L110" s="233"/>
      <c r="M110" s="247"/>
      <c r="N110" s="233"/>
      <c r="O110" s="247"/>
      <c r="P110" s="233"/>
      <c r="Q110" s="233"/>
      <c r="R110" s="233"/>
    </row>
    <row customHeight="1" ht="12">
      <c r="A111" s="233" t="s">
        <v>2334</v>
      </c>
      <c r="B111" s="234" t="s">
        <v>2560</v>
      </c>
      <c r="C111" s="233"/>
      <c r="D111" s="233"/>
      <c r="E111" s="233"/>
      <c r="F111" s="233"/>
      <c r="G111" s="233"/>
      <c r="H111" s="233"/>
      <c r="I111" s="233"/>
      <c r="J111" s="233"/>
      <c r="K111" s="233"/>
      <c r="L111" s="233"/>
      <c r="M111" s="247"/>
      <c r="N111" s="233"/>
      <c r="O111" s="247"/>
      <c r="P111" s="233"/>
      <c r="Q111" s="233"/>
      <c r="R111" s="233"/>
    </row>
    <row customHeight="1" ht="12">
      <c r="A112" s="233" t="s">
        <v>2338</v>
      </c>
      <c r="B112" s="234" t="s">
        <v>2561</v>
      </c>
      <c r="C112" s="233"/>
      <c r="D112" s="233"/>
      <c r="E112" s="233"/>
      <c r="F112" s="233"/>
      <c r="G112" s="233"/>
      <c r="H112" s="233"/>
      <c r="I112" s="233"/>
      <c r="J112" s="233"/>
      <c r="K112" s="233"/>
      <c r="L112" s="233"/>
      <c r="M112" s="247"/>
      <c r="N112" s="233"/>
      <c r="O112" s="247"/>
      <c r="P112" s="233"/>
      <c r="Q112" s="233"/>
      <c r="R112" s="233"/>
    </row>
    <row customHeight="1" ht="12">
      <c r="A113" s="233" t="s">
        <v>2343</v>
      </c>
      <c r="B113" s="234" t="s">
        <v>2562</v>
      </c>
      <c r="C113" s="233"/>
      <c r="D113" s="233"/>
      <c r="E113" s="233"/>
      <c r="F113" s="233"/>
      <c r="G113" s="233"/>
      <c r="H113" s="233"/>
      <c r="I113" s="233"/>
      <c r="J113" s="233"/>
      <c r="K113" s="233"/>
      <c r="L113" s="233"/>
      <c r="M113" s="247"/>
      <c r="N113" s="233"/>
      <c r="O113" s="247"/>
      <c r="P113" s="233"/>
      <c r="Q113" s="233"/>
      <c r="R113" s="233"/>
    </row>
    <row customHeight="1" ht="12">
      <c r="A114" s="233" t="s">
        <v>2348</v>
      </c>
      <c r="B114" s="234" t="s">
        <v>2563</v>
      </c>
      <c r="C114" s="233"/>
      <c r="D114" s="233"/>
      <c r="E114" s="233"/>
      <c r="F114" s="233"/>
      <c r="G114" s="233"/>
      <c r="H114" s="233"/>
      <c r="I114" s="233"/>
      <c r="J114" s="233"/>
      <c r="K114" s="233"/>
      <c r="L114" s="233"/>
      <c r="M114" s="247"/>
      <c r="N114" s="233"/>
      <c r="O114" s="247"/>
      <c r="P114" s="233"/>
      <c r="Q114" s="233"/>
      <c r="R114" s="233"/>
    </row>
    <row customHeight="1" ht="12">
      <c r="A115" s="233" t="s">
        <v>2353</v>
      </c>
      <c r="B115" s="234" t="s">
        <v>2564</v>
      </c>
      <c r="C115" s="233"/>
      <c r="D115" s="233"/>
      <c r="E115" s="233"/>
      <c r="F115" s="233"/>
      <c r="G115" s="233"/>
      <c r="H115" s="233"/>
      <c r="I115" s="233"/>
      <c r="J115" s="233"/>
      <c r="K115" s="233"/>
      <c r="L115" s="233"/>
      <c r="M115" s="247"/>
      <c r="N115" s="233"/>
      <c r="O115" s="247"/>
      <c r="P115" s="233"/>
      <c r="Q115" s="233"/>
      <c r="R115" s="233"/>
    </row>
    <row customHeight="1" ht="12">
      <c r="A116" s="233" t="s">
        <v>2358</v>
      </c>
      <c r="B116" s="234" t="s">
        <v>2565</v>
      </c>
      <c r="C116" s="233"/>
      <c r="D116" s="233"/>
      <c r="E116" s="233"/>
      <c r="F116" s="233"/>
      <c r="G116" s="233"/>
      <c r="H116" s="233"/>
      <c r="I116" s="233"/>
      <c r="J116" s="233"/>
      <c r="K116" s="233"/>
      <c r="L116" s="233"/>
      <c r="M116" s="247"/>
      <c r="N116" s="233"/>
      <c r="O116" s="247"/>
      <c r="P116" s="233"/>
      <c r="Q116" s="233"/>
      <c r="R116" s="233"/>
    </row>
    <row customHeight="1" ht="12">
      <c r="A117" s="233" t="s">
        <v>2362</v>
      </c>
      <c r="B117" s="234" t="s">
        <v>2566</v>
      </c>
      <c r="C117" s="233"/>
      <c r="D117" s="233"/>
      <c r="E117" s="233"/>
      <c r="F117" s="233"/>
      <c r="G117" s="233"/>
      <c r="H117" s="233"/>
      <c r="I117" s="233"/>
      <c r="J117" s="233"/>
      <c r="K117" s="233"/>
      <c r="L117" s="233"/>
      <c r="M117" s="247"/>
      <c r="N117" s="233"/>
      <c r="O117" s="247"/>
      <c r="P117" s="233"/>
      <c r="Q117" s="233"/>
      <c r="R117" s="233"/>
    </row>
    <row customHeight="1" ht="12">
      <c r="A118" s="233" t="s">
        <v>2367</v>
      </c>
      <c r="B118" s="234" t="s">
        <v>2567</v>
      </c>
      <c r="C118" s="233"/>
      <c r="D118" s="233"/>
      <c r="E118" s="233"/>
      <c r="F118" s="233"/>
      <c r="G118" s="233"/>
      <c r="H118" s="233"/>
      <c r="I118" s="233"/>
      <c r="J118" s="233"/>
      <c r="K118" s="233"/>
      <c r="L118" s="233"/>
      <c r="M118" s="247"/>
      <c r="N118" s="233"/>
      <c r="O118" s="247"/>
      <c r="P118" s="233"/>
      <c r="Q118" s="233"/>
      <c r="R118" s="233"/>
    </row>
    <row customHeight="1" ht="12">
      <c r="A119" s="233" t="s">
        <v>2371</v>
      </c>
      <c r="B119" s="234" t="s">
        <v>2568</v>
      </c>
      <c r="C119" s="233"/>
      <c r="D119" s="233"/>
      <c r="E119" s="233"/>
      <c r="F119" s="233"/>
      <c r="G119" s="233"/>
      <c r="H119" s="233"/>
      <c r="I119" s="233"/>
      <c r="J119" s="233"/>
      <c r="K119" s="233"/>
      <c r="L119" s="233"/>
      <c r="M119" s="247"/>
      <c r="N119" s="233"/>
      <c r="O119" s="247"/>
      <c r="P119" s="233"/>
      <c r="Q119" s="233"/>
      <c r="R119" s="233"/>
    </row>
    <row customHeight="1" ht="12">
      <c r="A120" s="233" t="s">
        <v>2376</v>
      </c>
      <c r="B120" s="234" t="s">
        <v>2569</v>
      </c>
      <c r="C120" s="233"/>
      <c r="D120" s="233"/>
      <c r="E120" s="233"/>
      <c r="F120" s="233"/>
      <c r="G120" s="233"/>
      <c r="H120" s="233"/>
      <c r="I120" s="233"/>
      <c r="J120" s="233"/>
      <c r="K120" s="233"/>
      <c r="L120" s="233"/>
      <c r="M120" s="247"/>
      <c r="N120" s="233"/>
      <c r="O120" s="247"/>
      <c r="P120" s="233"/>
      <c r="Q120" s="233"/>
      <c r="R120" s="233"/>
    </row>
    <row customHeight="1" ht="12">
      <c r="A121" s="233" t="s">
        <v>2381</v>
      </c>
      <c r="B121" s="234" t="s">
        <v>2570</v>
      </c>
      <c r="C121" s="233"/>
      <c r="D121" s="233"/>
      <c r="E121" s="233"/>
      <c r="F121" s="233"/>
      <c r="G121" s="233"/>
      <c r="H121" s="233"/>
      <c r="I121" s="233"/>
      <c r="J121" s="233"/>
      <c r="K121" s="233"/>
      <c r="L121" s="233"/>
      <c r="M121" s="247"/>
      <c r="N121" s="233"/>
      <c r="O121" s="247"/>
      <c r="P121" s="233"/>
      <c r="Q121" s="233"/>
      <c r="R121" s="233"/>
    </row>
    <row customHeight="1" ht="12">
      <c r="A122" s="233" t="s">
        <v>2386</v>
      </c>
      <c r="B122" s="234" t="s">
        <v>2571</v>
      </c>
      <c r="C122" s="233"/>
      <c r="D122" s="233"/>
      <c r="E122" s="233"/>
      <c r="F122" s="233"/>
      <c r="G122" s="233"/>
      <c r="H122" s="233"/>
      <c r="I122" s="233"/>
      <c r="J122" s="233"/>
      <c r="K122" s="233"/>
      <c r="L122" s="233"/>
      <c r="M122" s="247"/>
      <c r="N122" s="233"/>
      <c r="O122" s="247"/>
      <c r="P122" s="233"/>
      <c r="Q122" s="233"/>
      <c r="R122" s="233"/>
    </row>
    <row customHeight="1" ht="12">
      <c r="A123" s="233" t="s">
        <v>2391</v>
      </c>
      <c r="B123" s="234" t="s">
        <v>2572</v>
      </c>
      <c r="C123" s="233"/>
      <c r="D123" s="233"/>
      <c r="E123" s="233"/>
      <c r="F123" s="233"/>
      <c r="G123" s="233"/>
      <c r="H123" s="233"/>
      <c r="I123" s="233"/>
      <c r="J123" s="233"/>
      <c r="K123" s="233"/>
      <c r="L123" s="233"/>
      <c r="M123" s="247"/>
      <c r="N123" s="233"/>
      <c r="O123" s="247"/>
      <c r="P123" s="233"/>
      <c r="Q123" s="233"/>
      <c r="R123" s="233"/>
    </row>
    <row customHeight="1" ht="12">
      <c r="A124" s="233" t="s">
        <v>2395</v>
      </c>
      <c r="B124" s="234" t="s">
        <v>2573</v>
      </c>
      <c r="C124" s="233"/>
      <c r="D124" s="233"/>
      <c r="E124" s="233"/>
      <c r="F124" s="233"/>
      <c r="G124" s="233"/>
      <c r="H124" s="233"/>
      <c r="I124" s="233"/>
      <c r="J124" s="233"/>
      <c r="K124" s="233"/>
      <c r="L124" s="233"/>
      <c r="M124" s="247"/>
      <c r="N124" s="233"/>
      <c r="O124" s="247"/>
      <c r="P124" s="233"/>
      <c r="Q124" s="233"/>
      <c r="R124" s="233"/>
    </row>
    <row customHeight="1" ht="12">
      <c r="A125" s="233" t="s">
        <v>2399</v>
      </c>
      <c r="B125" s="234" t="s">
        <v>2574</v>
      </c>
      <c r="C125" s="233"/>
      <c r="D125" s="233"/>
      <c r="E125" s="233"/>
      <c r="F125" s="233"/>
      <c r="G125" s="233"/>
      <c r="H125" s="233"/>
      <c r="I125" s="233"/>
      <c r="J125" s="233"/>
      <c r="K125" s="233"/>
      <c r="L125" s="233"/>
      <c r="M125" s="247"/>
      <c r="N125" s="233"/>
      <c r="O125" s="247"/>
      <c r="P125" s="233"/>
      <c r="Q125" s="233"/>
      <c r="R125" s="233"/>
    </row>
    <row customHeight="1" ht="12">
      <c r="A126" s="233" t="s">
        <v>2403</v>
      </c>
      <c r="B126" s="234" t="s">
        <v>2575</v>
      </c>
      <c r="C126" s="233"/>
      <c r="D126" s="233"/>
      <c r="E126" s="233"/>
      <c r="F126" s="233"/>
      <c r="G126" s="233"/>
      <c r="H126" s="233"/>
      <c r="I126" s="233"/>
      <c r="J126" s="233"/>
      <c r="K126" s="233"/>
      <c r="L126" s="233"/>
      <c r="M126" s="247"/>
      <c r="N126" s="233"/>
      <c r="O126" s="247"/>
      <c r="P126" s="233"/>
      <c r="Q126" s="233"/>
      <c r="R126" s="233"/>
    </row>
    <row customHeight="1" ht="12">
      <c r="A127" s="233" t="s">
        <v>2406</v>
      </c>
      <c r="B127" s="234" t="s">
        <v>2576</v>
      </c>
      <c r="C127" s="233"/>
      <c r="D127" s="233"/>
      <c r="E127" s="233"/>
      <c r="F127" s="233"/>
      <c r="G127" s="233"/>
      <c r="H127" s="233"/>
      <c r="I127" s="233"/>
      <c r="J127" s="233"/>
      <c r="K127" s="233"/>
      <c r="L127" s="233"/>
      <c r="M127" s="247"/>
      <c r="N127" s="233"/>
      <c r="O127" s="247"/>
      <c r="P127" s="233"/>
      <c r="Q127" s="233"/>
      <c r="R127" s="233"/>
    </row>
    <row customHeight="1" ht="12">
      <c r="A128" s="233" t="s">
        <v>2410</v>
      </c>
      <c r="B128" s="234" t="s">
        <v>2577</v>
      </c>
      <c r="C128" s="233"/>
      <c r="D128" s="233"/>
      <c r="E128" s="233"/>
      <c r="F128" s="233"/>
      <c r="G128" s="233"/>
      <c r="H128" s="233"/>
      <c r="I128" s="233"/>
      <c r="J128" s="233"/>
      <c r="K128" s="233"/>
      <c r="L128" s="233"/>
      <c r="M128" s="247"/>
      <c r="N128" s="233"/>
      <c r="O128" s="247"/>
      <c r="P128" s="233"/>
      <c r="Q128" s="233"/>
      <c r="R128" s="233"/>
    </row>
    <row customHeight="1" ht="12">
      <c r="A129" s="233" t="s">
        <v>2414</v>
      </c>
      <c r="B129" s="234" t="s">
        <v>2578</v>
      </c>
      <c r="C129" s="233"/>
      <c r="D129" s="233"/>
      <c r="E129" s="233"/>
      <c r="F129" s="233"/>
      <c r="G129" s="233"/>
      <c r="H129" s="233"/>
      <c r="I129" s="233"/>
      <c r="J129" s="233"/>
      <c r="K129" s="233"/>
      <c r="L129" s="233"/>
      <c r="M129" s="247"/>
      <c r="N129" s="233"/>
      <c r="O129" s="247"/>
      <c r="P129" s="233"/>
      <c r="Q129" s="233"/>
      <c r="R129" s="233"/>
    </row>
    <row customHeight="1" ht="12">
      <c r="A130" s="233" t="s">
        <v>2418</v>
      </c>
      <c r="B130" s="234" t="s">
        <v>2579</v>
      </c>
      <c r="C130" s="233"/>
      <c r="D130" s="233"/>
      <c r="E130" s="233"/>
      <c r="F130" s="233"/>
      <c r="G130" s="233"/>
      <c r="H130" s="233"/>
      <c r="I130" s="233"/>
      <c r="J130" s="233"/>
      <c r="K130" s="233"/>
      <c r="L130" s="247"/>
      <c r="M130" s="247"/>
      <c r="N130" s="233"/>
      <c r="O130" s="233"/>
      <c r="P130" s="233"/>
      <c r="Q130" s="233"/>
      <c r="R130" s="233"/>
    </row>
    <row customHeight="1" ht="12">
      <c r="A131" s="233" t="s">
        <v>2422</v>
      </c>
      <c r="B131" s="234" t="s">
        <v>2580</v>
      </c>
      <c r="C131" s="233"/>
      <c r="D131" s="233"/>
      <c r="E131" s="233"/>
      <c r="F131" s="233"/>
      <c r="G131" s="233"/>
      <c r="H131" s="233"/>
      <c r="I131" s="233"/>
      <c r="J131" s="233"/>
      <c r="K131" s="233"/>
      <c r="L131" s="247"/>
      <c r="M131" s="247"/>
      <c r="N131" s="233"/>
      <c r="O131" s="233"/>
      <c r="P131" s="233"/>
      <c r="Q131" s="233"/>
      <c r="R131" s="233"/>
    </row>
    <row customHeight="1" ht="12">
      <c r="A132" s="233" t="s">
        <v>2426</v>
      </c>
      <c r="B132" s="234" t="s">
        <v>2581</v>
      </c>
      <c r="C132" s="233"/>
      <c r="D132" s="233"/>
      <c r="E132" s="233"/>
      <c r="F132" s="233"/>
      <c r="G132" s="233"/>
      <c r="H132" s="233"/>
      <c r="I132" s="233"/>
      <c r="J132" s="233"/>
      <c r="K132" s="233"/>
      <c r="L132" s="247"/>
      <c r="M132" s="247"/>
      <c r="N132" s="233"/>
      <c r="O132" s="233"/>
      <c r="P132" s="233"/>
      <c r="Q132" s="233"/>
      <c r="R132" s="233"/>
    </row>
    <row customHeight="1" ht="12">
      <c r="A133" s="233" t="s">
        <v>2430</v>
      </c>
      <c r="B133" s="234" t="s">
        <v>2582</v>
      </c>
      <c r="C133" s="233"/>
      <c r="D133" s="233"/>
      <c r="E133" s="233"/>
      <c r="F133" s="233"/>
      <c r="G133" s="233"/>
      <c r="H133" s="233"/>
      <c r="I133" s="233"/>
      <c r="J133" s="233"/>
      <c r="K133" s="233"/>
      <c r="L133" s="247"/>
      <c r="M133" s="247"/>
      <c r="N133" s="233"/>
      <c r="O133" s="233"/>
      <c r="P133" s="233"/>
      <c r="Q133" s="233"/>
      <c r="R133" s="233"/>
    </row>
    <row customHeight="1" ht="12">
      <c r="A134" s="233" t="s">
        <v>2434</v>
      </c>
      <c r="B134" s="234" t="s">
        <v>2583</v>
      </c>
      <c r="C134" s="233"/>
      <c r="D134" s="233"/>
      <c r="E134" s="233"/>
      <c r="F134" s="233"/>
      <c r="G134" s="233"/>
      <c r="H134" s="233"/>
      <c r="I134" s="233"/>
      <c r="J134" s="233"/>
      <c r="K134" s="233"/>
      <c r="L134" s="247"/>
      <c r="M134" s="247"/>
      <c r="N134" s="233"/>
      <c r="O134" s="233"/>
      <c r="P134" s="233"/>
      <c r="Q134" s="233"/>
      <c r="R134" s="233"/>
    </row>
    <row customHeight="1" ht="12">
      <c r="A135" s="233" t="s">
        <v>2438</v>
      </c>
      <c r="B135" s="234" t="s">
        <v>2584</v>
      </c>
      <c r="C135" s="233"/>
      <c r="D135" s="233"/>
      <c r="E135" s="233"/>
      <c r="F135" s="233"/>
      <c r="G135" s="233"/>
      <c r="H135" s="233"/>
      <c r="I135" s="233"/>
      <c r="J135" s="233"/>
      <c r="K135" s="247"/>
      <c r="L135" s="247"/>
      <c r="M135" s="247"/>
      <c r="N135" s="233"/>
      <c r="O135" s="233"/>
      <c r="P135" s="233"/>
      <c r="Q135" s="233"/>
      <c r="R135" s="233"/>
    </row>
    <row customHeight="1" ht="12">
      <c r="A136" s="233" t="s">
        <v>2441</v>
      </c>
      <c r="B136" s="234" t="s">
        <v>2585</v>
      </c>
      <c r="C136" s="233"/>
      <c r="D136" s="233"/>
      <c r="E136" s="233"/>
      <c r="F136" s="233"/>
      <c r="G136" s="233"/>
      <c r="H136" s="233"/>
      <c r="I136" s="233"/>
      <c r="J136" s="233"/>
      <c r="K136" s="247"/>
      <c r="L136" s="247"/>
      <c r="M136" s="247"/>
      <c r="N136" s="233"/>
      <c r="O136" s="233"/>
      <c r="P136" s="233"/>
      <c r="Q136" s="233"/>
      <c r="R136" s="233"/>
    </row>
    <row customHeight="1" ht="12">
      <c r="A137" s="233" t="s">
        <v>2444</v>
      </c>
      <c r="B137" s="234" t="s">
        <v>2586</v>
      </c>
      <c r="C137" s="233"/>
      <c r="D137" s="233"/>
      <c r="E137" s="233"/>
      <c r="F137" s="233"/>
      <c r="G137" s="233"/>
      <c r="H137" s="233"/>
      <c r="I137" s="233"/>
      <c r="J137" s="233"/>
      <c r="K137" s="247"/>
      <c r="L137" s="247"/>
      <c r="M137" s="247"/>
      <c r="N137" s="233"/>
      <c r="O137" s="233"/>
      <c r="P137" s="233"/>
      <c r="Q137" s="233"/>
      <c r="R137" s="233"/>
    </row>
    <row customHeight="1" ht="12">
      <c r="A138" s="233" t="s">
        <v>2447</v>
      </c>
      <c r="B138" s="234" t="s">
        <v>2587</v>
      </c>
      <c r="C138" s="233"/>
      <c r="D138" s="233"/>
      <c r="E138" s="233"/>
      <c r="F138" s="233"/>
      <c r="G138" s="233"/>
      <c r="H138" s="233"/>
      <c r="I138" s="233"/>
      <c r="J138" s="233"/>
      <c r="K138" s="247"/>
      <c r="L138" s="247"/>
      <c r="M138" s="247"/>
      <c r="N138" s="233"/>
      <c r="O138" s="233"/>
      <c r="P138" s="233"/>
      <c r="Q138" s="233"/>
      <c r="R138" s="233"/>
    </row>
    <row customHeight="1" ht="12">
      <c r="A139" s="233" t="s">
        <v>2450</v>
      </c>
      <c r="B139" s="234" t="s">
        <v>2588</v>
      </c>
      <c r="C139" s="233"/>
      <c r="D139" s="233"/>
      <c r="E139" s="233"/>
      <c r="F139" s="233"/>
      <c r="G139" s="233"/>
      <c r="H139" s="233"/>
      <c r="I139" s="233"/>
      <c r="J139" s="233"/>
      <c r="K139" s="247"/>
      <c r="L139" s="247"/>
      <c r="M139" s="247"/>
      <c r="N139" s="233"/>
      <c r="O139" s="233"/>
      <c r="P139" s="233"/>
      <c r="Q139" s="233"/>
      <c r="R139" s="233"/>
    </row>
    <row customHeight="1" ht="12">
      <c r="A140" s="233" t="s">
        <v>2454</v>
      </c>
      <c r="B140" s="234" t="s">
        <v>2589</v>
      </c>
      <c r="C140" s="233"/>
      <c r="D140" s="233"/>
      <c r="E140" s="233"/>
      <c r="F140" s="233"/>
      <c r="G140" s="233"/>
      <c r="H140" s="233"/>
      <c r="I140" s="233"/>
      <c r="J140" s="233"/>
      <c r="K140" s="247"/>
      <c r="L140" s="247"/>
      <c r="M140" s="247"/>
      <c r="N140" s="233"/>
      <c r="O140" s="233"/>
      <c r="P140" s="233"/>
      <c r="Q140" s="233"/>
      <c r="R140" s="233"/>
    </row>
    <row customHeight="1" ht="12">
      <c r="A141" s="233" t="s">
        <v>2457</v>
      </c>
      <c r="B141" s="234" t="s">
        <v>2590</v>
      </c>
      <c r="C141" s="233"/>
      <c r="D141" s="233"/>
      <c r="E141" s="233"/>
      <c r="F141" s="233"/>
      <c r="G141" s="233"/>
      <c r="H141" s="233"/>
      <c r="I141" s="233"/>
      <c r="J141" s="233"/>
      <c r="K141" s="247"/>
      <c r="L141" s="247"/>
      <c r="M141" s="247"/>
      <c r="N141" s="233"/>
      <c r="O141" s="233"/>
      <c r="P141" s="233"/>
      <c r="Q141" s="233"/>
      <c r="R141" s="233"/>
    </row>
    <row customHeight="1" ht="12">
      <c r="A142" s="233" t="s">
        <v>2461</v>
      </c>
      <c r="B142" s="234" t="s">
        <v>2591</v>
      </c>
      <c r="C142" s="233"/>
      <c r="D142" s="233"/>
      <c r="E142" s="233"/>
      <c r="F142" s="233"/>
      <c r="G142" s="233"/>
      <c r="H142" s="233"/>
      <c r="I142" s="233"/>
      <c r="J142" s="233"/>
      <c r="K142" s="247"/>
      <c r="L142" s="247"/>
      <c r="M142" s="247"/>
      <c r="N142" s="233"/>
      <c r="O142" s="233"/>
      <c r="P142" s="233"/>
      <c r="Q142" s="233"/>
      <c r="R142" s="233"/>
    </row>
    <row customHeight="1" ht="12">
      <c r="A143" s="233" t="s">
        <v>2464</v>
      </c>
      <c r="B143" s="234" t="s">
        <v>2592</v>
      </c>
      <c r="C143" s="233"/>
      <c r="D143" s="233"/>
      <c r="E143" s="233"/>
      <c r="F143" s="233"/>
      <c r="G143" s="233"/>
      <c r="H143" s="233"/>
      <c r="I143" s="233"/>
      <c r="J143" s="233"/>
      <c r="K143" s="247"/>
      <c r="L143" s="247"/>
      <c r="M143" s="247"/>
      <c r="N143" s="233"/>
      <c r="O143" s="233"/>
      <c r="P143" s="233"/>
      <c r="Q143" s="233"/>
      <c r="R143" s="233"/>
    </row>
    <row customHeight="1" ht="12">
      <c r="A144" s="233" t="s">
        <v>2467</v>
      </c>
      <c r="B144" s="234" t="s">
        <v>2593</v>
      </c>
      <c r="C144" s="233"/>
      <c r="D144" s="233"/>
      <c r="E144" s="233"/>
      <c r="F144" s="233"/>
      <c r="G144" s="233"/>
      <c r="H144" s="233"/>
      <c r="I144" s="233"/>
      <c r="J144" s="233"/>
      <c r="K144" s="247"/>
      <c r="L144" s="247"/>
      <c r="M144" s="247"/>
      <c r="N144" s="233"/>
      <c r="O144" s="233"/>
      <c r="P144" s="233"/>
      <c r="Q144" s="233"/>
      <c r="R144" s="233"/>
    </row>
    <row customHeight="1" ht="12">
      <c r="A145" s="233" t="s">
        <v>2470</v>
      </c>
      <c r="B145" s="234" t="s">
        <v>2594</v>
      </c>
      <c r="C145" s="233"/>
      <c r="D145" s="233"/>
      <c r="E145" s="233"/>
      <c r="F145" s="233"/>
      <c r="G145" s="233"/>
      <c r="H145" s="233"/>
      <c r="I145" s="233"/>
      <c r="J145" s="233"/>
      <c r="K145" s="247"/>
      <c r="L145" s="247"/>
      <c r="M145" s="247"/>
      <c r="N145" s="233"/>
      <c r="O145" s="233"/>
      <c r="P145" s="233"/>
      <c r="R145" s="233"/>
    </row>
    <row customHeight="1" ht="12">
      <c r="A146" s="233" t="s">
        <v>2474</v>
      </c>
      <c r="B146" s="234" t="s">
        <v>2595</v>
      </c>
      <c r="C146" s="233"/>
      <c r="D146" s="233"/>
      <c r="E146" s="233"/>
      <c r="F146" s="233"/>
      <c r="G146" s="233"/>
      <c r="H146" s="233"/>
      <c r="I146" s="233"/>
      <c r="J146" s="233"/>
      <c r="K146" s="247"/>
      <c r="L146" s="247"/>
      <c r="M146" s="247"/>
      <c r="N146" s="233"/>
      <c r="O146" s="233"/>
      <c r="P146" s="233"/>
      <c r="R146" s="233"/>
    </row>
    <row customHeight="1" ht="12">
      <c r="A147" s="233" t="s">
        <v>2477</v>
      </c>
      <c r="B147" s="234" t="s">
        <v>2596</v>
      </c>
      <c r="C147" s="233"/>
      <c r="D147" s="233"/>
      <c r="E147" s="233"/>
      <c r="F147" s="233"/>
      <c r="G147" s="233"/>
      <c r="H147" s="233"/>
      <c r="I147" s="233"/>
      <c r="J147" s="233"/>
      <c r="K147" s="247"/>
      <c r="L147" s="247"/>
      <c r="M147" s="247"/>
      <c r="N147" s="233"/>
      <c r="O147" s="233"/>
      <c r="P147" s="233"/>
      <c r="R147" s="233"/>
    </row>
    <row customHeight="1" ht="12">
      <c r="A148" s="233" t="s">
        <v>2479</v>
      </c>
      <c r="B148" s="234" t="s">
        <v>2597</v>
      </c>
      <c r="C148" s="233"/>
      <c r="D148" s="233"/>
      <c r="E148" s="233"/>
      <c r="F148" s="233"/>
      <c r="G148" s="233"/>
      <c r="H148" s="233"/>
      <c r="I148" s="233"/>
      <c r="J148" s="233"/>
      <c r="K148" s="247"/>
      <c r="L148" s="247"/>
      <c r="M148" s="247"/>
      <c r="N148" s="233"/>
      <c r="O148" s="233"/>
      <c r="P148" s="233"/>
      <c r="R148" s="233"/>
    </row>
    <row customHeight="1" ht="12">
      <c r="A149" s="233" t="s">
        <v>2481</v>
      </c>
      <c r="B149" s="234" t="s">
        <v>2598</v>
      </c>
      <c r="C149" s="233"/>
      <c r="D149" s="233"/>
      <c r="E149" s="233"/>
      <c r="F149" s="233"/>
      <c r="G149" s="233"/>
      <c r="H149" s="233"/>
      <c r="I149" s="233"/>
      <c r="J149" s="233"/>
      <c r="K149" s="247"/>
      <c r="L149" s="247"/>
      <c r="M149" s="247"/>
      <c r="N149" s="233"/>
      <c r="O149" s="233"/>
      <c r="P149" s="233"/>
      <c r="R149" s="233"/>
    </row>
    <row customHeight="1" ht="12">
      <c r="A150" s="233" t="s">
        <v>2484</v>
      </c>
      <c r="B150" s="234" t="s">
        <v>2599</v>
      </c>
      <c r="C150" s="233"/>
      <c r="D150" s="233"/>
      <c r="E150" s="233"/>
      <c r="F150" s="233"/>
      <c r="G150" s="233"/>
      <c r="H150" s="233"/>
      <c r="I150" s="233"/>
      <c r="J150" s="233"/>
      <c r="K150" s="247"/>
      <c r="L150" s="247"/>
      <c r="M150" s="247"/>
      <c r="N150" s="233"/>
      <c r="O150" s="233"/>
      <c r="P150" s="233"/>
      <c r="R150" s="233"/>
    </row>
    <row customHeight="1" ht="12">
      <c r="A151" s="233" t="s">
        <v>2486</v>
      </c>
      <c r="B151" s="234" t="s">
        <v>2600</v>
      </c>
      <c r="C151" s="233"/>
      <c r="D151" s="233"/>
      <c r="E151" s="233"/>
      <c r="F151" s="233"/>
      <c r="G151" s="233"/>
      <c r="H151" s="233"/>
      <c r="I151" s="233"/>
      <c r="J151" s="233"/>
      <c r="K151" s="247"/>
      <c r="L151" s="247"/>
      <c r="M151" s="247"/>
      <c r="N151" s="233"/>
      <c r="O151" s="233"/>
      <c r="P151" s="233"/>
      <c r="R151" s="233"/>
    </row>
    <row customHeight="1" ht="12">
      <c r="A152" s="233" t="s">
        <v>2489</v>
      </c>
      <c r="B152" s="234" t="s">
        <v>2601</v>
      </c>
      <c r="C152" s="233"/>
      <c r="D152" s="233"/>
      <c r="E152" s="233"/>
      <c r="F152" s="233"/>
      <c r="G152" s="233"/>
      <c r="H152" s="233"/>
      <c r="I152" s="233"/>
      <c r="J152" s="233"/>
      <c r="K152" s="247"/>
      <c r="L152" s="247"/>
      <c r="M152" s="247"/>
      <c r="N152" s="233"/>
      <c r="O152" s="233"/>
      <c r="P152" s="233"/>
      <c r="R152" s="233"/>
    </row>
    <row customHeight="1" ht="12">
      <c r="A153" s="233" t="s">
        <v>2491</v>
      </c>
      <c r="B153" s="234" t="s">
        <v>2602</v>
      </c>
      <c r="C153" s="233"/>
      <c r="D153" s="233"/>
      <c r="E153" s="233"/>
      <c r="F153" s="233"/>
      <c r="G153" s="233"/>
      <c r="H153" s="233"/>
      <c r="I153" s="233"/>
      <c r="J153" s="233"/>
      <c r="K153" s="247"/>
      <c r="L153" s="247"/>
      <c r="M153" s="247"/>
      <c r="N153" s="233"/>
      <c r="O153" s="233"/>
      <c r="P153" s="233"/>
      <c r="R153" s="233"/>
    </row>
    <row customHeight="1" ht="12">
      <c r="A154" s="233" t="s">
        <v>2493</v>
      </c>
      <c r="B154" s="234" t="s">
        <v>2603</v>
      </c>
      <c r="C154" s="233"/>
      <c r="D154" s="233"/>
      <c r="E154" s="233"/>
      <c r="F154" s="233"/>
      <c r="G154" s="233"/>
      <c r="H154" s="233"/>
      <c r="I154" s="233"/>
      <c r="J154" s="233"/>
      <c r="K154" s="247"/>
      <c r="L154" s="247"/>
      <c r="M154" s="247"/>
      <c r="N154" s="233"/>
      <c r="O154" s="233"/>
      <c r="P154" s="233"/>
      <c r="R154" s="233"/>
    </row>
    <row customHeight="1" ht="12">
      <c r="A155" s="233" t="s">
        <v>2495</v>
      </c>
      <c r="B155" s="234" t="s">
        <v>2604</v>
      </c>
      <c r="C155" s="233"/>
      <c r="D155" s="233"/>
      <c r="E155" s="233"/>
      <c r="F155" s="233"/>
      <c r="G155" s="233"/>
      <c r="H155" s="233"/>
      <c r="I155" s="233"/>
      <c r="J155" s="233"/>
      <c r="K155" s="247"/>
      <c r="L155" s="247"/>
      <c r="M155" s="247"/>
      <c r="N155" s="233"/>
      <c r="O155" s="233"/>
      <c r="P155" s="233"/>
      <c r="R155" s="233"/>
    </row>
    <row customHeight="1" ht="12">
      <c r="A156" s="233" t="s">
        <v>2497</v>
      </c>
      <c r="B156" s="234" t="s">
        <v>2605</v>
      </c>
      <c r="C156" s="233"/>
      <c r="D156" s="233"/>
      <c r="E156" s="233"/>
      <c r="F156" s="233"/>
      <c r="G156" s="233"/>
      <c r="H156" s="233"/>
      <c r="I156" s="233"/>
      <c r="J156" s="233"/>
      <c r="K156" s="247"/>
      <c r="L156" s="247"/>
      <c r="M156" s="247"/>
      <c r="N156" s="233"/>
      <c r="O156" s="233"/>
      <c r="P156" s="233"/>
      <c r="R156" s="233"/>
    </row>
    <row customHeight="1" ht="12">
      <c r="A157" s="233" t="s">
        <v>2499</v>
      </c>
      <c r="B157" s="234" t="s">
        <v>2606</v>
      </c>
      <c r="C157" s="233"/>
      <c r="D157" s="233"/>
      <c r="E157" s="233"/>
      <c r="F157" s="233"/>
      <c r="G157" s="233"/>
      <c r="H157" s="233"/>
      <c r="I157" s="233"/>
      <c r="J157" s="233"/>
      <c r="K157" s="247"/>
      <c r="L157" s="247"/>
      <c r="M157" s="247"/>
      <c r="N157" s="233"/>
      <c r="O157" s="233"/>
      <c r="P157" s="233"/>
      <c r="R157" s="233"/>
    </row>
    <row customHeight="1" ht="12">
      <c r="A158" s="233" t="s">
        <v>2501</v>
      </c>
      <c r="B158" s="234" t="s">
        <v>2607</v>
      </c>
      <c r="C158" s="233"/>
      <c r="D158" s="233"/>
      <c r="E158" s="233"/>
      <c r="F158" s="233"/>
      <c r="G158" s="233"/>
      <c r="H158" s="233"/>
      <c r="I158" s="233"/>
      <c r="J158" s="233"/>
      <c r="K158" s="247"/>
      <c r="L158" s="247"/>
      <c r="M158" s="247"/>
      <c r="N158" s="233"/>
      <c r="O158" s="233"/>
      <c r="P158" s="233"/>
      <c r="R158" s="233"/>
    </row>
    <row customHeight="1" ht="12">
      <c r="A159" s="233" t="s">
        <v>2503</v>
      </c>
      <c r="B159" s="234" t="s">
        <v>2608</v>
      </c>
      <c r="C159" s="233"/>
      <c r="D159" s="233"/>
      <c r="E159" s="233"/>
      <c r="F159" s="233"/>
      <c r="G159" s="233"/>
      <c r="H159" s="233"/>
      <c r="I159" s="233"/>
      <c r="J159" s="233"/>
      <c r="K159" s="247"/>
      <c r="L159" s="247"/>
      <c r="M159" s="247"/>
      <c r="N159" s="233"/>
      <c r="O159" s="233"/>
      <c r="P159" s="233"/>
      <c r="R159" s="233"/>
    </row>
    <row customHeight="1" ht="12">
      <c r="A160" s="233" t="s">
        <v>2505</v>
      </c>
      <c r="B160" s="234" t="s">
        <v>2609</v>
      </c>
      <c r="C160" s="233"/>
      <c r="D160" s="233"/>
      <c r="E160" s="233"/>
      <c r="F160" s="233"/>
      <c r="G160" s="233"/>
      <c r="H160" s="233"/>
      <c r="I160" s="233"/>
      <c r="J160" s="233"/>
      <c r="K160" s="247"/>
      <c r="L160" s="247"/>
      <c r="M160" s="247"/>
      <c r="N160" s="233"/>
      <c r="O160" s="233"/>
      <c r="P160" s="233"/>
      <c r="R160" s="233"/>
    </row>
    <row customHeight="1" ht="12">
      <c r="A161" s="233" t="s">
        <v>2507</v>
      </c>
      <c r="B161" s="234" t="s">
        <v>2610</v>
      </c>
      <c r="C161" s="233"/>
      <c r="D161" s="233"/>
      <c r="E161" s="233"/>
      <c r="F161" s="233"/>
      <c r="G161" s="233"/>
      <c r="H161" s="233"/>
      <c r="I161" s="233"/>
      <c r="J161" s="233"/>
      <c r="K161" s="247"/>
      <c r="L161" s="247"/>
      <c r="M161" s="247"/>
      <c r="N161" s="233"/>
      <c r="O161" s="233"/>
      <c r="P161" s="233"/>
      <c r="R161" s="233"/>
    </row>
    <row customHeight="1" ht="12">
      <c r="A162" s="233" t="s">
        <v>2509</v>
      </c>
      <c r="B162" s="234" t="s">
        <v>2611</v>
      </c>
      <c r="C162" s="233"/>
      <c r="D162" s="233"/>
      <c r="E162" s="233"/>
      <c r="F162" s="233"/>
      <c r="G162" s="233"/>
      <c r="H162" s="233"/>
      <c r="I162" s="233"/>
      <c r="J162" s="233"/>
      <c r="K162" s="247"/>
      <c r="L162" s="247"/>
      <c r="M162" s="247"/>
      <c r="N162" s="233"/>
      <c r="O162" s="233"/>
      <c r="P162" s="233"/>
      <c r="R162" s="233"/>
    </row>
    <row customHeight="1" ht="12">
      <c r="A163" s="233" t="s">
        <v>2511</v>
      </c>
      <c r="B163" s="234" t="s">
        <v>2612</v>
      </c>
      <c r="C163" s="233"/>
      <c r="D163" s="233"/>
      <c r="E163" s="233"/>
      <c r="F163" s="233"/>
      <c r="G163" s="233"/>
      <c r="H163" s="233"/>
      <c r="I163" s="233"/>
      <c r="J163" s="233"/>
      <c r="K163" s="247"/>
      <c r="L163" s="247"/>
      <c r="M163" s="247"/>
      <c r="N163" s="233"/>
      <c r="O163" s="233"/>
      <c r="P163" s="233"/>
      <c r="R163" s="233"/>
    </row>
    <row customHeight="1" ht="12">
      <c r="A164" s="233" t="s">
        <v>2513</v>
      </c>
      <c r="B164" s="234" t="s">
        <v>2613</v>
      </c>
      <c r="C164" s="233"/>
      <c r="D164" s="233"/>
      <c r="E164" s="233"/>
      <c r="F164" s="233"/>
      <c r="G164" s="233"/>
      <c r="H164" s="233"/>
      <c r="I164" s="233"/>
      <c r="J164" s="233"/>
      <c r="L164" s="247"/>
      <c r="M164" s="247"/>
      <c r="N164" s="233"/>
      <c r="O164" s="233"/>
      <c r="P164" s="233"/>
      <c r="R164" s="233"/>
    </row>
    <row customHeight="1" ht="12">
      <c r="A165" s="233" t="s">
        <v>2515</v>
      </c>
      <c r="B165" s="234" t="s">
        <v>2614</v>
      </c>
      <c r="C165" s="233"/>
      <c r="D165" s="233"/>
      <c r="E165" s="233"/>
      <c r="F165" s="233"/>
      <c r="G165" s="233"/>
      <c r="H165" s="233"/>
      <c r="I165" s="233"/>
      <c r="J165" s="233"/>
      <c r="L165" s="247"/>
      <c r="M165" s="247"/>
      <c r="N165" s="233"/>
      <c r="O165" s="233"/>
      <c r="P165" s="233"/>
      <c r="R165" s="233"/>
    </row>
    <row customHeight="1" ht="12">
      <c r="A166" s="233" t="s">
        <v>2517</v>
      </c>
      <c r="B166" s="234" t="s">
        <v>2615</v>
      </c>
      <c r="C166" s="233"/>
      <c r="D166" s="233"/>
      <c r="E166" s="233"/>
      <c r="F166" s="233"/>
      <c r="G166" s="233"/>
      <c r="H166" s="233"/>
      <c r="I166" s="233"/>
      <c r="J166" s="233"/>
      <c r="L166" s="247"/>
      <c r="M166" s="247"/>
      <c r="N166" s="233"/>
      <c r="O166" s="233"/>
      <c r="P166" s="233"/>
      <c r="R166" s="233"/>
    </row>
    <row customHeight="1" ht="12">
      <c r="A167" s="233" t="s">
        <v>114</v>
      </c>
      <c r="B167" s="234" t="s">
        <v>2616</v>
      </c>
      <c r="C167" s="233"/>
      <c r="D167" s="233"/>
      <c r="E167" s="233"/>
      <c r="F167" s="233"/>
      <c r="G167" s="233"/>
      <c r="H167" s="233"/>
      <c r="I167" s="233"/>
      <c r="J167" s="233"/>
      <c r="L167" s="247"/>
      <c r="M167" s="247"/>
      <c r="N167" s="233"/>
      <c r="O167" s="233"/>
      <c r="P167" s="233"/>
      <c r="R167" s="233"/>
    </row>
    <row customHeight="1" ht="12">
      <c r="A168" s="233" t="s">
        <v>2521</v>
      </c>
      <c r="B168" s="234" t="s">
        <v>2617</v>
      </c>
      <c r="C168" s="233"/>
      <c r="D168" s="233"/>
      <c r="E168" s="233"/>
      <c r="F168" s="233"/>
      <c r="G168" s="233"/>
      <c r="H168" s="233"/>
      <c r="I168" s="233"/>
      <c r="J168" s="233"/>
      <c r="L168" s="247"/>
      <c r="M168" s="247"/>
      <c r="N168" s="233"/>
      <c r="O168" s="233"/>
      <c r="P168" s="233"/>
      <c r="R168" s="233"/>
    </row>
    <row customHeight="1" ht="12">
      <c r="A169" s="233" t="s">
        <v>2523</v>
      </c>
      <c r="B169" s="234" t="s">
        <v>2618</v>
      </c>
      <c r="C169" s="233"/>
      <c r="D169" s="233"/>
      <c r="E169" s="233"/>
      <c r="F169" s="233"/>
      <c r="H169" s="233"/>
      <c r="I169" s="233"/>
      <c r="J169" s="233"/>
      <c r="L169" s="247"/>
      <c r="M169" s="247"/>
      <c r="N169" s="233"/>
      <c r="O169" s="233"/>
      <c r="P169" s="233"/>
      <c r="R169" s="233"/>
    </row>
    <row customHeight="1" ht="12">
      <c r="A170" s="233" t="s">
        <v>2525</v>
      </c>
      <c r="B170" s="234" t="s">
        <v>2619</v>
      </c>
      <c r="C170" s="233"/>
      <c r="D170" s="233"/>
      <c r="E170" s="233"/>
      <c r="F170" s="233"/>
      <c r="H170" s="233"/>
      <c r="I170" s="233"/>
      <c r="J170" s="233"/>
      <c r="L170" s="247"/>
      <c r="M170" s="247"/>
      <c r="N170" s="233"/>
      <c r="O170" s="233"/>
      <c r="P170" s="233"/>
      <c r="R170" s="233"/>
    </row>
    <row customHeight="1" ht="12">
      <c r="A171" s="233" t="s">
        <v>2527</v>
      </c>
      <c r="B171" s="234" t="s">
        <v>2620</v>
      </c>
      <c r="C171" s="233"/>
      <c r="D171" s="233"/>
      <c r="E171" s="233"/>
      <c r="F171" s="233"/>
      <c r="H171" s="233"/>
      <c r="I171" s="233"/>
      <c r="J171" s="233"/>
      <c r="L171" s="247"/>
      <c r="M171" s="247"/>
      <c r="N171" s="233"/>
      <c r="O171" s="233"/>
      <c r="P171" s="233"/>
      <c r="R171" s="233"/>
    </row>
    <row customHeight="1" ht="12">
      <c r="A172" s="233" t="s">
        <v>2530</v>
      </c>
      <c r="B172" s="234" t="s">
        <v>2621</v>
      </c>
      <c r="C172" s="233"/>
      <c r="D172" s="233"/>
      <c r="E172" s="233"/>
      <c r="F172" s="233"/>
      <c r="H172" s="233"/>
      <c r="I172" s="233"/>
      <c r="J172" s="233"/>
      <c r="L172" s="247"/>
      <c r="M172" s="247"/>
      <c r="N172" s="233"/>
      <c r="O172" s="233"/>
      <c r="P172" s="233"/>
      <c r="R172" s="233"/>
    </row>
    <row customHeight="1" ht="12">
      <c r="A173" s="233" t="s">
        <v>2533</v>
      </c>
      <c r="B173" s="234" t="s">
        <v>2622</v>
      </c>
      <c r="C173" s="233"/>
      <c r="D173" s="233"/>
      <c r="E173" s="233"/>
      <c r="F173" s="233"/>
      <c r="H173" s="233"/>
      <c r="I173" s="233"/>
      <c r="J173" s="233"/>
      <c r="L173" s="247"/>
      <c r="M173" s="247"/>
      <c r="N173" s="233"/>
      <c r="O173" s="233"/>
      <c r="P173" s="233"/>
      <c r="R173" s="233"/>
    </row>
    <row customHeight="1" ht="12">
      <c r="A174" s="233" t="s">
        <v>2535</v>
      </c>
      <c r="B174" s="234" t="s">
        <v>2623</v>
      </c>
      <c r="C174" s="233"/>
      <c r="D174" s="233"/>
      <c r="E174" s="233"/>
      <c r="F174" s="233"/>
      <c r="H174" s="233"/>
      <c r="I174" s="233"/>
      <c r="J174" s="233"/>
      <c r="L174" s="247"/>
      <c r="M174" s="247"/>
      <c r="N174" s="233"/>
      <c r="O174" s="233"/>
      <c r="P174" s="233"/>
      <c r="R174" s="233"/>
    </row>
    <row customHeight="1" ht="12">
      <c r="A175" s="233" t="s">
        <v>2537</v>
      </c>
      <c r="B175" s="234" t="s">
        <v>2624</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29456-F368-3F6E-8803-EB2C99ED6E66}"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2625</v>
      </c>
      <c r="B1" s="0" t="s">
        <v>2626</v>
      </c>
      <c r="C1" s="0" t="s">
        <v>2627</v>
      </c>
      <c r="D1" s="0" t="s">
        <v>2628</v>
      </c>
      <c r="E1" s="0" t="s">
        <v>2629</v>
      </c>
      <c r="F1" s="0" t="s">
        <v>2630</v>
      </c>
      <c r="G1" s="0" t="s">
        <v>2631</v>
      </c>
      <c r="H1" s="0" t="s">
        <v>2632</v>
      </c>
      <c r="I1" s="0" t="s">
        <v>2633</v>
      </c>
      <c r="J1" s="0" t="s">
        <v>2634</v>
      </c>
      <c r="K1" s="0" t="s">
        <v>2635</v>
      </c>
      <c r="L1" s="0" t="s">
        <v>2636</v>
      </c>
      <c r="M1" s="0" t="s">
        <v>2637</v>
      </c>
      <c r="N1" s="0" t="s">
        <v>2638</v>
      </c>
      <c r="O1" s="0" t="s">
        <v>2639</v>
      </c>
      <c r="P1" s="0" t="s">
        <v>2640</v>
      </c>
      <c r="Q1" s="0" t="s">
        <v>2641</v>
      </c>
      <c r="R1" s="0" t="s">
        <v>2642</v>
      </c>
      <c r="S1" s="0" t="s">
        <v>2643</v>
      </c>
      <c r="T1" s="0" t="s">
        <v>2644</v>
      </c>
      <c r="U1" s="0" t="s">
        <v>2645</v>
      </c>
      <c r="V1" s="0" t="s">
        <v>2646</v>
      </c>
      <c r="W1" s="0" t="s">
        <v>2647</v>
      </c>
      <c r="X1" s="0" t="s">
        <v>2648</v>
      </c>
      <c r="Y1" s="0" t="s">
        <v>2649</v>
      </c>
      <c r="Z1" s="0" t="s">
        <v>2650</v>
      </c>
      <c r="AA1" s="0" t="s">
        <v>2651</v>
      </c>
      <c r="AB1" s="0" t="s">
        <v>2652</v>
      </c>
      <c r="AC1" s="0" t="s">
        <v>2653</v>
      </c>
      <c r="AD1" s="0" t="s">
        <v>2654</v>
      </c>
      <c r="AE1" s="0" t="s">
        <v>2655</v>
      </c>
      <c r="AF1" s="0" t="s">
        <v>2656</v>
      </c>
      <c r="AG1" s="0" t="s">
        <v>2657</v>
      </c>
      <c r="AH1" s="0" t="s">
        <v>2658</v>
      </c>
      <c r="AI1" s="0" t="s">
        <v>2659</v>
      </c>
      <c r="AJ1" s="0" t="s">
        <v>2660</v>
      </c>
      <c r="AK1" s="0" t="s">
        <v>2661</v>
      </c>
      <c r="AL1" s="0" t="s">
        <v>2662</v>
      </c>
      <c r="AM1" s="0" t="s">
        <v>2663</v>
      </c>
      <c r="AN1" s="0" t="s">
        <v>2664</v>
      </c>
      <c r="AO1" s="0" t="s">
        <v>2665</v>
      </c>
      <c r="AP1" s="0" t="s">
        <v>2666</v>
      </c>
      <c r="AQ1" s="0" t="s">
        <v>2667</v>
      </c>
      <c r="AR1" s="0" t="s">
        <v>2668</v>
      </c>
      <c r="AS1" s="0" t="s">
        <v>2669</v>
      </c>
      <c r="AT1" s="0" t="s">
        <v>2670</v>
      </c>
      <c r="AU1" s="0" t="s">
        <v>2671</v>
      </c>
      <c r="AV1" s="0" t="s">
        <v>2672</v>
      </c>
      <c r="AW1" s="0" t="s">
        <v>2673</v>
      </c>
      <c r="AX1" s="0" t="s">
        <v>2674</v>
      </c>
      <c r="AY1" s="0" t="s">
        <v>2675</v>
      </c>
      <c r="AZ1" s="0" t="s">
        <v>2676</v>
      </c>
      <c r="BA1" s="0" t="s">
        <v>2677</v>
      </c>
      <c r="BB1" s="0" t="s">
        <v>2678</v>
      </c>
      <c r="BC1" s="0" t="s">
        <v>2679</v>
      </c>
      <c r="BD1" s="0" t="s">
        <v>2680</v>
      </c>
      <c r="BE1" s="0" t="s">
        <v>2681</v>
      </c>
      <c r="BF1" s="0" t="s">
        <v>2682</v>
      </c>
      <c r="BG1" s="0" t="s">
        <v>2683</v>
      </c>
      <c r="BH1" s="0" t="s">
        <v>2684</v>
      </c>
      <c r="BI1" s="0" t="s">
        <v>2685</v>
      </c>
      <c r="BJ1" s="0" t="s">
        <v>2686</v>
      </c>
      <c r="BK1" s="0" t="s">
        <v>2687</v>
      </c>
      <c r="BL1" s="0" t="s">
        <v>2688</v>
      </c>
      <c r="BM1" s="0" t="s">
        <v>2689</v>
      </c>
      <c r="BN1" s="0" t="s">
        <v>2690</v>
      </c>
      <c r="BO1" s="0" t="s">
        <v>2691</v>
      </c>
      <c r="BP1" s="0" t="s">
        <v>2692</v>
      </c>
      <c r="BQ1" s="0" t="s">
        <v>2693</v>
      </c>
      <c r="BR1" s="0" t="s">
        <v>2694</v>
      </c>
      <c r="BS1" s="0" t="s">
        <v>2695</v>
      </c>
      <c r="BT1" s="0" t="s">
        <v>2696</v>
      </c>
      <c r="BU1" s="0" t="s">
        <v>2697</v>
      </c>
      <c r="BV1" s="0" t="s">
        <v>2698</v>
      </c>
      <c r="BW1" s="0" t="s">
        <v>2699</v>
      </c>
      <c r="BX1" s="0" t="s">
        <v>2700</v>
      </c>
      <c r="BY1" s="0" t="s">
        <v>2701</v>
      </c>
      <c r="BZ1" s="0" t="s">
        <v>2702</v>
      </c>
      <c r="CA1" s="0" t="s">
        <v>2703</v>
      </c>
      <c r="CB1" s="0" t="s">
        <v>2704</v>
      </c>
      <c r="CC1" s="0" t="s">
        <v>2705</v>
      </c>
      <c r="CD1" s="0" t="s">
        <v>2706</v>
      </c>
      <c r="CE1" s="0" t="s">
        <v>2707</v>
      </c>
      <c r="CF1" s="0" t="s">
        <v>2708</v>
      </c>
      <c r="CG1" s="0" t="s">
        <v>2709</v>
      </c>
      <c r="CH1" s="0" t="s">
        <v>2710</v>
      </c>
      <c r="CI1" s="0" t="s">
        <v>2711</v>
      </c>
      <c r="CJ1" s="0" t="s">
        <v>2712</v>
      </c>
      <c r="CK1" s="0" t="s">
        <v>2713</v>
      </c>
      <c r="CL1" s="0" t="s">
        <v>2714</v>
      </c>
      <c r="CM1" s="0" t="s">
        <v>2715</v>
      </c>
      <c r="CN1" s="0" t="s">
        <v>2716</v>
      </c>
      <c r="CO1" s="0" t="s">
        <v>2717</v>
      </c>
      <c r="CP1" s="0" t="s">
        <v>2718</v>
      </c>
      <c r="CQ1" s="0" t="s">
        <v>2719</v>
      </c>
      <c r="CR1" s="0" t="s">
        <v>2720</v>
      </c>
      <c r="CS1" s="0" t="s">
        <v>2721</v>
      </c>
      <c r="CT1" s="0" t="s">
        <v>2722</v>
      </c>
      <c r="CU1" s="0" t="s">
        <v>2723</v>
      </c>
      <c r="CV1" s="0" t="s">
        <v>2724</v>
      </c>
      <c r="CW1" s="0" t="s">
        <v>2725</v>
      </c>
      <c r="CX1" s="0" t="s">
        <v>2726</v>
      </c>
      <c r="CY1" s="0" t="s">
        <v>2727</v>
      </c>
    </row>
    <row customHeight="1" ht="11.25">
      <c r="A2" s="0" t="s">
        <v>242</v>
      </c>
      <c r="B2" s="0" t="s">
        <v>242</v>
      </c>
      <c r="C2" s="0" t="s">
        <v>242</v>
      </c>
      <c r="D2" s="0" t="s">
        <v>242</v>
      </c>
      <c r="E2" s="0" t="s">
        <v>242</v>
      </c>
      <c r="F2" s="0" t="s">
        <v>2728</v>
      </c>
      <c r="G2" s="0" t="s">
        <v>242</v>
      </c>
      <c r="H2" s="0" t="s">
        <v>242</v>
      </c>
      <c r="I2" s="0" t="s">
        <v>337</v>
      </c>
      <c r="J2" s="0" t="s">
        <v>242</v>
      </c>
      <c r="K2" s="0" t="s">
        <v>417</v>
      </c>
      <c r="L2" s="0" t="s">
        <v>242</v>
      </c>
      <c r="M2" s="0" t="s">
        <v>114</v>
      </c>
      <c r="N2" s="0" t="s">
        <v>242</v>
      </c>
      <c r="O2" s="0" t="s">
        <v>2729</v>
      </c>
      <c r="P2" s="0" t="s">
        <v>2730</v>
      </c>
      <c r="Q2" s="0" t="s">
        <v>2731</v>
      </c>
      <c r="R2" s="0" t="s">
        <v>200</v>
      </c>
      <c r="S2" s="0" t="s">
        <v>200</v>
      </c>
      <c r="T2" s="0" t="s">
        <v>394</v>
      </c>
      <c r="U2" s="0" t="s">
        <v>394</v>
      </c>
      <c r="V2" s="0" t="s">
        <v>395</v>
      </c>
      <c r="W2" s="0" t="s">
        <v>2732</v>
      </c>
      <c r="X2" s="0" t="s">
        <v>2733</v>
      </c>
      <c r="Y2" s="0" t="s">
        <v>2734</v>
      </c>
      <c r="Z2" s="0" t="s">
        <v>645</v>
      </c>
      <c r="AA2" s="0" t="s">
        <v>2735</v>
      </c>
      <c r="AB2" s="0" t="s">
        <v>2736</v>
      </c>
      <c r="AC2" s="0" t="s">
        <v>242</v>
      </c>
      <c r="AD2" s="0" t="s">
        <v>2737</v>
      </c>
      <c r="AE2" s="0" t="s">
        <v>2738</v>
      </c>
      <c r="AF2" s="0" t="s">
        <v>2739</v>
      </c>
      <c r="AG2" s="0" t="s">
        <v>2740</v>
      </c>
      <c r="AH2" s="0" t="s">
        <v>2741</v>
      </c>
      <c r="AI2" s="0" t="s">
        <v>2742</v>
      </c>
      <c r="AJ2" s="0" t="s">
        <v>2743</v>
      </c>
      <c r="AK2" s="0" t="s">
        <v>2744</v>
      </c>
      <c r="AL2" s="0" t="s">
        <v>2735</v>
      </c>
      <c r="AM2" s="0" t="s">
        <v>2745</v>
      </c>
      <c r="AN2" s="0" t="s">
        <v>242</v>
      </c>
      <c r="AO2" s="0" t="s">
        <v>2746</v>
      </c>
      <c r="AP2" s="0" t="s">
        <v>2747</v>
      </c>
      <c r="AQ2" s="0" t="s">
        <v>2748</v>
      </c>
      <c r="AR2" s="0" t="s">
        <v>2749</v>
      </c>
      <c r="AS2" s="0" t="s">
        <v>2750</v>
      </c>
      <c r="AT2" s="0" t="s">
        <v>2751</v>
      </c>
      <c r="AU2" s="0" t="s">
        <v>2752</v>
      </c>
      <c r="AV2" s="0" t="s">
        <v>2753</v>
      </c>
      <c r="AW2" s="0" t="s">
        <v>2754</v>
      </c>
      <c r="AX2" s="0" t="s">
        <v>2754</v>
      </c>
      <c r="AY2" s="0" t="s">
        <v>2754</v>
      </c>
      <c r="AZ2" s="0" t="s">
        <v>2754</v>
      </c>
      <c r="BA2" s="0" t="s">
        <v>2754</v>
      </c>
      <c r="BB2" s="0" t="s">
        <v>2754</v>
      </c>
      <c r="BC2" s="0" t="s">
        <v>2754</v>
      </c>
      <c r="BD2" s="0" t="s">
        <v>2755</v>
      </c>
      <c r="BE2" s="0" t="s">
        <v>2756</v>
      </c>
      <c r="BF2" s="0" t="s">
        <v>2757</v>
      </c>
      <c r="BG2" s="0" t="s">
        <v>2758</v>
      </c>
      <c r="BH2" s="0" t="s">
        <v>2759</v>
      </c>
      <c r="BI2" s="0" t="s">
        <v>242</v>
      </c>
      <c r="BJ2" s="0" t="s">
        <v>2754</v>
      </c>
      <c r="BK2" s="0" t="s">
        <v>242</v>
      </c>
      <c r="BL2" s="0" t="s">
        <v>242</v>
      </c>
      <c r="BM2" s="0" t="s">
        <v>242</v>
      </c>
      <c r="BN2" s="0" t="s">
        <v>242</v>
      </c>
      <c r="BO2" s="0" t="s">
        <v>242</v>
      </c>
      <c r="BP2" s="0" t="s">
        <v>2760</v>
      </c>
      <c r="BQ2" s="0" t="s">
        <v>2761</v>
      </c>
      <c r="BR2" s="0" t="s">
        <v>2762</v>
      </c>
      <c r="BS2" s="0" t="s">
        <v>2763</v>
      </c>
      <c r="BT2" s="0" t="s">
        <v>2764</v>
      </c>
      <c r="BU2" s="0" t="s">
        <v>242</v>
      </c>
      <c r="BV2" s="0" t="s">
        <v>2754</v>
      </c>
      <c r="BW2" s="0" t="s">
        <v>242</v>
      </c>
      <c r="BX2" s="0" t="s">
        <v>242</v>
      </c>
      <c r="BY2" s="0" t="s">
        <v>242</v>
      </c>
      <c r="BZ2" s="0" t="s">
        <v>242</v>
      </c>
      <c r="CA2" s="0" t="s">
        <v>242</v>
      </c>
      <c r="CB2" s="0" t="s">
        <v>2765</v>
      </c>
      <c r="CC2" s="0" t="s">
        <v>2765</v>
      </c>
      <c r="CD2" s="0" t="s">
        <v>242</v>
      </c>
      <c r="CE2" s="0" t="s">
        <v>242</v>
      </c>
      <c r="CF2" s="0" t="s">
        <v>242</v>
      </c>
      <c r="CG2" s="0" t="s">
        <v>242</v>
      </c>
      <c r="CH2" s="0" t="s">
        <v>2754</v>
      </c>
      <c r="CI2" s="0" t="s">
        <v>242</v>
      </c>
      <c r="CJ2" s="0" t="s">
        <v>242</v>
      </c>
      <c r="CK2" s="0" t="s">
        <v>242</v>
      </c>
      <c r="CL2" s="0" t="s">
        <v>242</v>
      </c>
      <c r="CM2" s="0" t="s">
        <v>242</v>
      </c>
      <c r="CN2" s="0" t="s">
        <v>2766</v>
      </c>
      <c r="CO2" s="0" t="s">
        <v>2767</v>
      </c>
      <c r="CP2" s="0" t="s">
        <v>2768</v>
      </c>
      <c r="CQ2" s="0" t="s">
        <v>419</v>
      </c>
      <c r="CR2" s="0" t="s">
        <v>2769</v>
      </c>
      <c r="CS2" s="0" t="s">
        <v>420</v>
      </c>
      <c r="CT2" s="0" t="s">
        <v>419</v>
      </c>
      <c r="CU2" s="0" t="s">
        <v>421</v>
      </c>
      <c r="CV2" s="0" t="s">
        <v>422</v>
      </c>
      <c r="CW2" s="0" t="s">
        <v>2769</v>
      </c>
      <c r="CX2" s="0" t="s">
        <v>2770</v>
      </c>
      <c r="CY2" s="0" t="s">
        <v>418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4B3F8-1EAB-C5DA-AD56-784AAEA92827}" mc:Ignorable="x14ac xr xr2 xr3">
  <sheetPr>
    <tabColor rgb="FFFFCC99"/>
  </sheetPr>
  <dimension ref="A1:C150"/>
  <sheetViews>
    <sheetView topLeftCell="A1" showGridLines="0" workbookViewId="0">
      <selection activeCell="A1" sqref="A1"/>
    </sheetView>
  </sheetViews>
  <sheetFormatPr customHeight="1" defaultRowHeight="11.25"/>
  <sheetData>
    <row customHeight="1" ht="11.25">
      <c r="A1" s="0" t="s">
        <v>2771</v>
      </c>
      <c r="B1" s="0" t="s">
        <v>2772</v>
      </c>
      <c r="C1" s="0" t="s">
        <v>2773</v>
      </c>
    </row>
    <row customHeight="1" ht="11.25">
      <c r="A2" s="0" t="s">
        <v>2774</v>
      </c>
      <c r="B2" s="0" t="s">
        <v>2774</v>
      </c>
      <c r="C2" s="0" t="s">
        <v>2775</v>
      </c>
    </row>
    <row customHeight="1" ht="11.25">
      <c r="A3" s="0" t="s">
        <v>2776</v>
      </c>
      <c r="B3" s="0" t="s">
        <v>2776</v>
      </c>
      <c r="C3" s="0" t="s">
        <v>2777</v>
      </c>
    </row>
    <row customHeight="1" ht="11.25">
      <c r="A4" s="0" t="s">
        <v>2778</v>
      </c>
      <c r="B4" s="0" t="s">
        <v>2778</v>
      </c>
      <c r="C4" s="0" t="s">
        <v>2779</v>
      </c>
    </row>
    <row customHeight="1" ht="11.25">
      <c r="A5" s="0" t="s">
        <v>2780</v>
      </c>
      <c r="B5" s="0" t="s">
        <v>2781</v>
      </c>
      <c r="C5" s="0" t="s">
        <v>2782</v>
      </c>
    </row>
    <row customHeight="1" ht="11.25">
      <c r="A6" s="0" t="s">
        <v>2780</v>
      </c>
      <c r="B6" s="0" t="s">
        <v>2783</v>
      </c>
      <c r="C6" s="0" t="s">
        <v>2784</v>
      </c>
    </row>
    <row customHeight="1" ht="11.25">
      <c r="A7" s="0" t="s">
        <v>2780</v>
      </c>
      <c r="B7" s="0" t="s">
        <v>2785</v>
      </c>
      <c r="C7" s="0" t="s">
        <v>2786</v>
      </c>
    </row>
    <row customHeight="1" ht="11.25">
      <c r="A8" s="0" t="s">
        <v>2780</v>
      </c>
      <c r="B8" s="0" t="s">
        <v>2787</v>
      </c>
      <c r="C8" s="0" t="s">
        <v>2788</v>
      </c>
    </row>
    <row customHeight="1" ht="11.25">
      <c r="A9" s="0" t="s">
        <v>2780</v>
      </c>
      <c r="B9" s="0" t="s">
        <v>2789</v>
      </c>
      <c r="C9" s="0" t="s">
        <v>2790</v>
      </c>
    </row>
    <row customHeight="1" ht="11.25">
      <c r="A10" s="0" t="s">
        <v>2791</v>
      </c>
      <c r="B10" s="0" t="s">
        <v>2792</v>
      </c>
      <c r="C10" s="0" t="s">
        <v>2793</v>
      </c>
    </row>
    <row customHeight="1" ht="11.25">
      <c r="A11" s="0" t="s">
        <v>2791</v>
      </c>
      <c r="B11" s="0" t="s">
        <v>2794</v>
      </c>
      <c r="C11" s="0" t="s">
        <v>2795</v>
      </c>
    </row>
    <row customHeight="1" ht="11.25">
      <c r="A12" s="0" t="s">
        <v>2791</v>
      </c>
      <c r="B12" s="0" t="s">
        <v>2796</v>
      </c>
      <c r="C12" s="0" t="s">
        <v>2797</v>
      </c>
    </row>
    <row customHeight="1" ht="11.25">
      <c r="A13" s="0" t="s">
        <v>2791</v>
      </c>
      <c r="B13" s="0" t="s">
        <v>2798</v>
      </c>
      <c r="C13" s="0" t="s">
        <v>2799</v>
      </c>
    </row>
    <row customHeight="1" ht="11.25">
      <c r="A14" s="0" t="s">
        <v>2791</v>
      </c>
      <c r="B14" s="0" t="s">
        <v>2800</v>
      </c>
      <c r="C14" s="0" t="s">
        <v>2801</v>
      </c>
    </row>
    <row customHeight="1" ht="11.25">
      <c r="A15" s="0" t="s">
        <v>2791</v>
      </c>
      <c r="B15" s="0" t="s">
        <v>2802</v>
      </c>
      <c r="C15" s="0" t="s">
        <v>2803</v>
      </c>
    </row>
    <row customHeight="1" ht="11.25">
      <c r="A16" s="0" t="s">
        <v>2791</v>
      </c>
      <c r="B16" s="0" t="s">
        <v>2804</v>
      </c>
      <c r="C16" s="0" t="s">
        <v>2805</v>
      </c>
    </row>
    <row customHeight="1" ht="11.25">
      <c r="A17" s="0" t="s">
        <v>2791</v>
      </c>
      <c r="B17" s="0" t="s">
        <v>2806</v>
      </c>
      <c r="C17" s="0" t="s">
        <v>2807</v>
      </c>
    </row>
    <row customHeight="1" ht="11.25">
      <c r="A18" s="0" t="s">
        <v>2791</v>
      </c>
      <c r="B18" s="0" t="s">
        <v>2808</v>
      </c>
      <c r="C18" s="0" t="s">
        <v>2809</v>
      </c>
    </row>
    <row customHeight="1" ht="11.25">
      <c r="A19" s="0" t="s">
        <v>2810</v>
      </c>
      <c r="B19" s="0" t="s">
        <v>2811</v>
      </c>
      <c r="C19" s="0" t="s">
        <v>2812</v>
      </c>
    </row>
    <row customHeight="1" ht="11.25">
      <c r="A20" s="0" t="s">
        <v>2810</v>
      </c>
      <c r="B20" s="0" t="s">
        <v>2813</v>
      </c>
      <c r="C20" s="0" t="s">
        <v>2814</v>
      </c>
    </row>
    <row customHeight="1" ht="11.25">
      <c r="A21" s="0" t="s">
        <v>2810</v>
      </c>
      <c r="B21" s="0" t="s">
        <v>2815</v>
      </c>
      <c r="C21" s="0" t="s">
        <v>2816</v>
      </c>
    </row>
    <row customHeight="1" ht="11.25">
      <c r="A22" s="0" t="s">
        <v>2810</v>
      </c>
      <c r="B22" s="0" t="s">
        <v>2817</v>
      </c>
      <c r="C22" s="0" t="s">
        <v>2818</v>
      </c>
    </row>
    <row customHeight="1" ht="11.25">
      <c r="A23" s="0" t="s">
        <v>2810</v>
      </c>
      <c r="B23" s="0" t="s">
        <v>2819</v>
      </c>
      <c r="C23" s="0" t="s">
        <v>2820</v>
      </c>
    </row>
    <row customHeight="1" ht="11.25">
      <c r="A24" s="0" t="s">
        <v>2810</v>
      </c>
      <c r="B24" s="0" t="s">
        <v>2821</v>
      </c>
      <c r="C24" s="0" t="s">
        <v>2822</v>
      </c>
    </row>
    <row customHeight="1" ht="11.25">
      <c r="A25" s="0" t="s">
        <v>2823</v>
      </c>
      <c r="B25" s="0" t="s">
        <v>2824</v>
      </c>
      <c r="C25" s="0" t="s">
        <v>2825</v>
      </c>
    </row>
    <row customHeight="1" ht="11.25">
      <c r="A26" s="0" t="s">
        <v>2823</v>
      </c>
      <c r="B26" s="0" t="s">
        <v>2826</v>
      </c>
      <c r="C26" s="0" t="s">
        <v>2827</v>
      </c>
    </row>
    <row customHeight="1" ht="11.25">
      <c r="A27" s="0" t="s">
        <v>2823</v>
      </c>
      <c r="B27" s="0" t="s">
        <v>2828</v>
      </c>
      <c r="C27" s="0" t="s">
        <v>2829</v>
      </c>
    </row>
    <row customHeight="1" ht="11.25">
      <c r="A28" s="0" t="s">
        <v>2823</v>
      </c>
      <c r="B28" s="0" t="s">
        <v>2830</v>
      </c>
      <c r="C28" s="0" t="s">
        <v>2831</v>
      </c>
    </row>
    <row customHeight="1" ht="11.25">
      <c r="A29" s="0" t="s">
        <v>2823</v>
      </c>
      <c r="B29" s="0" t="s">
        <v>2832</v>
      </c>
      <c r="C29" s="0" t="s">
        <v>2833</v>
      </c>
    </row>
    <row customHeight="1" ht="11.25">
      <c r="A30" s="0" t="s">
        <v>2823</v>
      </c>
      <c r="B30" s="0" t="s">
        <v>2834</v>
      </c>
      <c r="C30" s="0" t="s">
        <v>2835</v>
      </c>
    </row>
    <row customHeight="1" ht="11.25">
      <c r="A31" s="0" t="s">
        <v>2823</v>
      </c>
      <c r="B31" s="0" t="s">
        <v>2836</v>
      </c>
      <c r="C31" s="0" t="s">
        <v>2837</v>
      </c>
    </row>
    <row customHeight="1" ht="11.25">
      <c r="A32" s="0" t="s">
        <v>2823</v>
      </c>
      <c r="B32" s="0" t="s">
        <v>2838</v>
      </c>
      <c r="C32" s="0" t="s">
        <v>2839</v>
      </c>
    </row>
    <row customHeight="1" ht="11.25">
      <c r="A33" s="0" t="s">
        <v>2840</v>
      </c>
      <c r="B33" s="0" t="s">
        <v>2841</v>
      </c>
      <c r="C33" s="0" t="s">
        <v>2842</v>
      </c>
    </row>
    <row customHeight="1" ht="11.25">
      <c r="A34" s="0" t="s">
        <v>2840</v>
      </c>
      <c r="B34" s="0" t="s">
        <v>2843</v>
      </c>
      <c r="C34" s="0" t="s">
        <v>2844</v>
      </c>
    </row>
    <row customHeight="1" ht="11.25">
      <c r="A35" s="0" t="s">
        <v>2840</v>
      </c>
      <c r="B35" s="0" t="s">
        <v>2845</v>
      </c>
      <c r="C35" s="0" t="s">
        <v>2846</v>
      </c>
    </row>
    <row customHeight="1" ht="11.25">
      <c r="A36" s="0" t="s">
        <v>2840</v>
      </c>
      <c r="B36" s="0" t="s">
        <v>2847</v>
      </c>
      <c r="C36" s="0" t="s">
        <v>2848</v>
      </c>
    </row>
    <row customHeight="1" ht="11.25">
      <c r="A37" s="0" t="s">
        <v>2840</v>
      </c>
      <c r="B37" s="0" t="s">
        <v>2849</v>
      </c>
      <c r="C37" s="0" t="s">
        <v>2850</v>
      </c>
    </row>
    <row customHeight="1" ht="11.25">
      <c r="A38" s="0" t="s">
        <v>2840</v>
      </c>
      <c r="B38" s="0" t="s">
        <v>2851</v>
      </c>
      <c r="C38" s="0" t="s">
        <v>2852</v>
      </c>
    </row>
    <row customHeight="1" ht="11.25">
      <c r="A39" s="0" t="s">
        <v>2840</v>
      </c>
      <c r="B39" s="0" t="s">
        <v>2853</v>
      </c>
      <c r="C39" s="0" t="s">
        <v>2854</v>
      </c>
    </row>
    <row customHeight="1" ht="11.25">
      <c r="A40" s="0" t="s">
        <v>2840</v>
      </c>
      <c r="B40" s="0" t="s">
        <v>2855</v>
      </c>
      <c r="C40" s="0" t="s">
        <v>2856</v>
      </c>
    </row>
    <row customHeight="1" ht="11.25">
      <c r="A41" s="0" t="s">
        <v>2857</v>
      </c>
      <c r="B41" s="0" t="s">
        <v>2858</v>
      </c>
      <c r="C41" s="0" t="s">
        <v>2859</v>
      </c>
    </row>
    <row customHeight="1" ht="11.25">
      <c r="A42" s="0" t="s">
        <v>2857</v>
      </c>
      <c r="B42" s="0" t="s">
        <v>2860</v>
      </c>
      <c r="C42" s="0" t="s">
        <v>2861</v>
      </c>
    </row>
    <row customHeight="1" ht="11.25">
      <c r="A43" s="0" t="s">
        <v>2857</v>
      </c>
      <c r="B43" s="0" t="s">
        <v>2862</v>
      </c>
      <c r="C43" s="0" t="s">
        <v>2863</v>
      </c>
    </row>
    <row customHeight="1" ht="11.25">
      <c r="A44" s="0" t="s">
        <v>2857</v>
      </c>
      <c r="B44" s="0" t="s">
        <v>2864</v>
      </c>
      <c r="C44" s="0" t="s">
        <v>2865</v>
      </c>
    </row>
    <row customHeight="1" ht="11.25">
      <c r="A45" s="0" t="s">
        <v>2857</v>
      </c>
      <c r="B45" s="0" t="s">
        <v>2866</v>
      </c>
      <c r="C45" s="0" t="s">
        <v>2867</v>
      </c>
    </row>
    <row customHeight="1" ht="11.25">
      <c r="A46" s="0" t="s">
        <v>2857</v>
      </c>
      <c r="B46" s="0" t="s">
        <v>2868</v>
      </c>
      <c r="C46" s="0" t="s">
        <v>2869</v>
      </c>
    </row>
    <row customHeight="1" ht="11.25">
      <c r="A47" s="0" t="s">
        <v>2870</v>
      </c>
      <c r="B47" s="0" t="s">
        <v>2871</v>
      </c>
      <c r="C47" s="0" t="s">
        <v>2872</v>
      </c>
    </row>
    <row customHeight="1" ht="11.25">
      <c r="A48" s="0" t="s">
        <v>2870</v>
      </c>
      <c r="B48" s="0" t="s">
        <v>2873</v>
      </c>
      <c r="C48" s="0" t="s">
        <v>2874</v>
      </c>
    </row>
    <row customHeight="1" ht="11.25">
      <c r="A49" s="0" t="s">
        <v>2870</v>
      </c>
      <c r="B49" s="0" t="s">
        <v>2875</v>
      </c>
      <c r="C49" s="0" t="s">
        <v>2876</v>
      </c>
    </row>
    <row customHeight="1" ht="11.25">
      <c r="A50" s="0" t="s">
        <v>2870</v>
      </c>
      <c r="B50" s="0" t="s">
        <v>2877</v>
      </c>
      <c r="C50" s="0" t="s">
        <v>2878</v>
      </c>
    </row>
    <row customHeight="1" ht="11.25">
      <c r="A51" s="0" t="s">
        <v>2870</v>
      </c>
      <c r="B51" s="0" t="s">
        <v>2879</v>
      </c>
      <c r="C51" s="0" t="s">
        <v>2880</v>
      </c>
    </row>
    <row customHeight="1" ht="11.25">
      <c r="A52" s="0" t="s">
        <v>2870</v>
      </c>
      <c r="B52" s="0" t="s">
        <v>2881</v>
      </c>
      <c r="C52" s="0" t="s">
        <v>2882</v>
      </c>
    </row>
    <row customHeight="1" ht="11.25">
      <c r="A53" s="0" t="s">
        <v>2870</v>
      </c>
      <c r="B53" s="0" t="s">
        <v>2883</v>
      </c>
      <c r="C53" s="0" t="s">
        <v>2884</v>
      </c>
    </row>
    <row customHeight="1" ht="11.25">
      <c r="A54" s="0" t="s">
        <v>2885</v>
      </c>
      <c r="B54" s="0" t="s">
        <v>2886</v>
      </c>
      <c r="C54" s="0" t="s">
        <v>2887</v>
      </c>
    </row>
    <row customHeight="1" ht="11.25">
      <c r="A55" s="0" t="s">
        <v>2885</v>
      </c>
      <c r="B55" s="0" t="s">
        <v>2888</v>
      </c>
      <c r="C55" s="0" t="s">
        <v>2889</v>
      </c>
    </row>
    <row customHeight="1" ht="11.25">
      <c r="A56" s="0" t="s">
        <v>2885</v>
      </c>
      <c r="B56" s="0" t="s">
        <v>2890</v>
      </c>
      <c r="C56" s="0" t="s">
        <v>2891</v>
      </c>
    </row>
    <row customHeight="1" ht="11.25">
      <c r="A57" s="0" t="s">
        <v>2885</v>
      </c>
      <c r="B57" s="0" t="s">
        <v>2892</v>
      </c>
      <c r="C57" s="0" t="s">
        <v>2893</v>
      </c>
    </row>
    <row customHeight="1" ht="11.25">
      <c r="A58" s="0" t="s">
        <v>2885</v>
      </c>
      <c r="B58" s="0" t="s">
        <v>2894</v>
      </c>
      <c r="C58" s="0" t="s">
        <v>2895</v>
      </c>
    </row>
    <row customHeight="1" ht="11.25">
      <c r="A59" s="0" t="s">
        <v>2885</v>
      </c>
      <c r="B59" s="0" t="s">
        <v>2896</v>
      </c>
      <c r="C59" s="0" t="s">
        <v>2897</v>
      </c>
    </row>
    <row customHeight="1" ht="11.25">
      <c r="A60" s="0" t="s">
        <v>2885</v>
      </c>
      <c r="B60" s="0" t="s">
        <v>2898</v>
      </c>
      <c r="C60" s="0" t="s">
        <v>2899</v>
      </c>
    </row>
    <row customHeight="1" ht="11.25">
      <c r="A61" s="0" t="s">
        <v>2885</v>
      </c>
      <c r="B61" s="0" t="s">
        <v>2900</v>
      </c>
      <c r="C61" s="0" t="s">
        <v>2901</v>
      </c>
    </row>
    <row customHeight="1" ht="11.25">
      <c r="A62" s="0" t="s">
        <v>2902</v>
      </c>
      <c r="B62" s="0" t="s">
        <v>2903</v>
      </c>
      <c r="C62" s="0" t="s">
        <v>2904</v>
      </c>
    </row>
    <row customHeight="1" ht="11.25">
      <c r="A63" s="0" t="s">
        <v>2902</v>
      </c>
      <c r="B63" s="0" t="s">
        <v>2905</v>
      </c>
      <c r="C63" s="0" t="s">
        <v>2906</v>
      </c>
    </row>
    <row customHeight="1" ht="11.25">
      <c r="A64" s="0" t="s">
        <v>2902</v>
      </c>
      <c r="B64" s="0" t="s">
        <v>2907</v>
      </c>
      <c r="C64" s="0" t="s">
        <v>2908</v>
      </c>
    </row>
    <row customHeight="1" ht="11.25">
      <c r="A65" s="0" t="s">
        <v>2902</v>
      </c>
      <c r="B65" s="0" t="s">
        <v>2909</v>
      </c>
      <c r="C65" s="0" t="s">
        <v>2910</v>
      </c>
    </row>
    <row customHeight="1" ht="11.25">
      <c r="A66" s="0" t="s">
        <v>2902</v>
      </c>
      <c r="B66" s="0" t="s">
        <v>2911</v>
      </c>
      <c r="C66" s="0" t="s">
        <v>2912</v>
      </c>
    </row>
    <row customHeight="1" ht="11.25">
      <c r="A67" s="0" t="s">
        <v>2902</v>
      </c>
      <c r="B67" s="0" t="s">
        <v>2913</v>
      </c>
      <c r="C67" s="0" t="s">
        <v>2914</v>
      </c>
    </row>
    <row customHeight="1" ht="11.25">
      <c r="A68" s="0" t="s">
        <v>2902</v>
      </c>
      <c r="B68" s="0" t="s">
        <v>2915</v>
      </c>
      <c r="C68" s="0" t="s">
        <v>2916</v>
      </c>
    </row>
    <row customHeight="1" ht="11.25">
      <c r="A69" s="0" t="s">
        <v>2902</v>
      </c>
      <c r="B69" s="0" t="s">
        <v>2917</v>
      </c>
      <c r="C69" s="0" t="s">
        <v>2918</v>
      </c>
    </row>
    <row customHeight="1" ht="11.25">
      <c r="A70" s="0" t="s">
        <v>2902</v>
      </c>
      <c r="B70" s="0" t="s">
        <v>2919</v>
      </c>
      <c r="C70" s="0" t="s">
        <v>2920</v>
      </c>
    </row>
    <row customHeight="1" ht="11.25">
      <c r="A71" s="0" t="s">
        <v>2921</v>
      </c>
      <c r="B71" s="0" t="s">
        <v>2922</v>
      </c>
      <c r="C71" s="0" t="s">
        <v>2923</v>
      </c>
    </row>
    <row customHeight="1" ht="11.25">
      <c r="A72" s="0" t="s">
        <v>2921</v>
      </c>
      <c r="B72" s="0" t="s">
        <v>2924</v>
      </c>
      <c r="C72" s="0" t="s">
        <v>2925</v>
      </c>
    </row>
    <row customHeight="1" ht="11.25">
      <c r="A73" s="0" t="s">
        <v>2921</v>
      </c>
      <c r="B73" s="0" t="s">
        <v>2926</v>
      </c>
      <c r="C73" s="0" t="s">
        <v>2927</v>
      </c>
    </row>
    <row customHeight="1" ht="11.25">
      <c r="A74" s="0" t="s">
        <v>2921</v>
      </c>
      <c r="B74" s="0" t="s">
        <v>2928</v>
      </c>
      <c r="C74" s="0" t="s">
        <v>2929</v>
      </c>
    </row>
    <row customHeight="1" ht="11.25">
      <c r="A75" s="0" t="s">
        <v>2921</v>
      </c>
      <c r="B75" s="0" t="s">
        <v>2930</v>
      </c>
      <c r="C75" s="0" t="s">
        <v>2931</v>
      </c>
    </row>
    <row customHeight="1" ht="11.25">
      <c r="A76" s="0" t="s">
        <v>2932</v>
      </c>
      <c r="B76" s="0" t="s">
        <v>2933</v>
      </c>
      <c r="C76" s="0" t="s">
        <v>2934</v>
      </c>
    </row>
    <row customHeight="1" ht="11.25">
      <c r="A77" s="0" t="s">
        <v>2932</v>
      </c>
      <c r="B77" s="0" t="s">
        <v>2935</v>
      </c>
      <c r="C77" s="0" t="s">
        <v>2936</v>
      </c>
    </row>
    <row customHeight="1" ht="11.25">
      <c r="A78" s="0" t="s">
        <v>2932</v>
      </c>
      <c r="B78" s="0" t="s">
        <v>2937</v>
      </c>
      <c r="C78" s="0" t="s">
        <v>2938</v>
      </c>
    </row>
    <row customHeight="1" ht="11.25">
      <c r="A79" s="0" t="s">
        <v>2932</v>
      </c>
      <c r="B79" s="0" t="s">
        <v>2939</v>
      </c>
      <c r="C79" s="0" t="s">
        <v>2940</v>
      </c>
    </row>
    <row customHeight="1" ht="11.25">
      <c r="A80" s="0" t="s">
        <v>2932</v>
      </c>
      <c r="B80" s="0" t="s">
        <v>2941</v>
      </c>
      <c r="C80" s="0" t="s">
        <v>2942</v>
      </c>
    </row>
    <row customHeight="1" ht="11.25">
      <c r="A81" s="0" t="s">
        <v>2932</v>
      </c>
      <c r="B81" s="0" t="s">
        <v>2943</v>
      </c>
      <c r="C81" s="0" t="s">
        <v>2944</v>
      </c>
    </row>
    <row customHeight="1" ht="11.25">
      <c r="A82" s="0" t="s">
        <v>2945</v>
      </c>
      <c r="B82" s="0" t="s">
        <v>2946</v>
      </c>
      <c r="C82" s="0" t="s">
        <v>2947</v>
      </c>
    </row>
    <row customHeight="1" ht="11.25">
      <c r="A83" s="0" t="s">
        <v>2945</v>
      </c>
      <c r="B83" s="0" t="s">
        <v>2948</v>
      </c>
      <c r="C83" s="0" t="s">
        <v>2949</v>
      </c>
    </row>
    <row customHeight="1" ht="11.25">
      <c r="A84" s="0" t="s">
        <v>2945</v>
      </c>
      <c r="B84" s="0" t="s">
        <v>2950</v>
      </c>
      <c r="C84" s="0" t="s">
        <v>2951</v>
      </c>
    </row>
    <row customHeight="1" ht="11.25">
      <c r="A85" s="0" t="s">
        <v>2945</v>
      </c>
      <c r="B85" s="0" t="s">
        <v>2952</v>
      </c>
      <c r="C85" s="0" t="s">
        <v>2953</v>
      </c>
    </row>
    <row customHeight="1" ht="11.25">
      <c r="A86" s="0" t="s">
        <v>2945</v>
      </c>
      <c r="B86" s="0" t="s">
        <v>2954</v>
      </c>
      <c r="C86" s="0" t="s">
        <v>2955</v>
      </c>
    </row>
    <row customHeight="1" ht="11.25">
      <c r="A87" s="0" t="s">
        <v>2945</v>
      </c>
      <c r="B87" s="0" t="s">
        <v>2956</v>
      </c>
      <c r="C87" s="0" t="s">
        <v>2957</v>
      </c>
    </row>
    <row customHeight="1" ht="11.25">
      <c r="A88" s="0" t="s">
        <v>2958</v>
      </c>
      <c r="B88" s="0" t="s">
        <v>2959</v>
      </c>
      <c r="C88" s="0" t="s">
        <v>2960</v>
      </c>
    </row>
    <row customHeight="1" ht="11.25">
      <c r="A89" s="0" t="s">
        <v>2958</v>
      </c>
      <c r="B89" s="0" t="s">
        <v>2961</v>
      </c>
      <c r="C89" s="0" t="s">
        <v>2962</v>
      </c>
    </row>
    <row customHeight="1" ht="11.25">
      <c r="A90" s="0" t="s">
        <v>2958</v>
      </c>
      <c r="B90" s="0" t="s">
        <v>2963</v>
      </c>
      <c r="C90" s="0" t="s">
        <v>2964</v>
      </c>
    </row>
    <row customHeight="1" ht="11.25">
      <c r="A91" s="0" t="s">
        <v>2958</v>
      </c>
      <c r="B91" s="0" t="s">
        <v>2965</v>
      </c>
      <c r="C91" s="0" t="s">
        <v>2966</v>
      </c>
    </row>
    <row customHeight="1" ht="11.25">
      <c r="A92" s="0" t="s">
        <v>2958</v>
      </c>
      <c r="B92" s="0" t="s">
        <v>2967</v>
      </c>
      <c r="C92" s="0" t="s">
        <v>2968</v>
      </c>
    </row>
    <row customHeight="1" ht="11.25">
      <c r="A93" s="0" t="s">
        <v>2969</v>
      </c>
      <c r="B93" s="0" t="s">
        <v>2970</v>
      </c>
      <c r="C93" s="0" t="s">
        <v>2971</v>
      </c>
    </row>
    <row customHeight="1" ht="11.25">
      <c r="A94" s="0" t="s">
        <v>2969</v>
      </c>
      <c r="B94" s="0" t="s">
        <v>2972</v>
      </c>
      <c r="C94" s="0" t="s">
        <v>2973</v>
      </c>
    </row>
    <row customHeight="1" ht="11.25">
      <c r="A95" s="0" t="s">
        <v>2969</v>
      </c>
      <c r="B95" s="0" t="s">
        <v>2974</v>
      </c>
      <c r="C95" s="0" t="s">
        <v>2975</v>
      </c>
    </row>
    <row customHeight="1" ht="11.25">
      <c r="A96" s="0" t="s">
        <v>2969</v>
      </c>
      <c r="B96" s="0" t="s">
        <v>2976</v>
      </c>
      <c r="C96" s="0" t="s">
        <v>2977</v>
      </c>
    </row>
    <row customHeight="1" ht="11.25">
      <c r="A97" s="0" t="s">
        <v>2969</v>
      </c>
      <c r="B97" s="0" t="s">
        <v>2978</v>
      </c>
      <c r="C97" s="0" t="s">
        <v>2979</v>
      </c>
    </row>
    <row customHeight="1" ht="11.25">
      <c r="A98" s="0" t="s">
        <v>2969</v>
      </c>
      <c r="B98" s="0" t="s">
        <v>2980</v>
      </c>
      <c r="C98" s="0" t="s">
        <v>2981</v>
      </c>
    </row>
    <row customHeight="1" ht="11.25">
      <c r="A99" s="0" t="s">
        <v>2982</v>
      </c>
      <c r="B99" s="0" t="s">
        <v>2983</v>
      </c>
      <c r="C99" s="0" t="s">
        <v>2984</v>
      </c>
    </row>
    <row customHeight="1" ht="11.25">
      <c r="A100" s="0" t="s">
        <v>2982</v>
      </c>
      <c r="B100" s="0" t="s">
        <v>2985</v>
      </c>
      <c r="C100" s="0" t="s">
        <v>2986</v>
      </c>
    </row>
    <row customHeight="1" ht="11.25">
      <c r="A101" s="0" t="s">
        <v>2982</v>
      </c>
      <c r="B101" s="0" t="s">
        <v>2987</v>
      </c>
      <c r="C101" s="0" t="s">
        <v>2988</v>
      </c>
    </row>
    <row customHeight="1" ht="11.25">
      <c r="A102" s="0" t="s">
        <v>2982</v>
      </c>
      <c r="B102" s="0" t="s">
        <v>2989</v>
      </c>
      <c r="C102" s="0" t="s">
        <v>2990</v>
      </c>
    </row>
    <row customHeight="1" ht="11.25">
      <c r="A103" s="0" t="s">
        <v>2982</v>
      </c>
      <c r="B103" s="0" t="s">
        <v>2991</v>
      </c>
      <c r="C103" s="0" t="s">
        <v>2992</v>
      </c>
    </row>
    <row customHeight="1" ht="11.25">
      <c r="A104" s="0" t="s">
        <v>2993</v>
      </c>
      <c r="B104" s="0" t="s">
        <v>2994</v>
      </c>
      <c r="C104" s="0" t="s">
        <v>2995</v>
      </c>
    </row>
    <row customHeight="1" ht="11.25">
      <c r="A105" s="0" t="s">
        <v>2993</v>
      </c>
      <c r="B105" s="0" t="s">
        <v>2996</v>
      </c>
      <c r="C105" s="0" t="s">
        <v>2997</v>
      </c>
    </row>
    <row customHeight="1" ht="11.25">
      <c r="A106" s="0" t="s">
        <v>2993</v>
      </c>
      <c r="B106" s="0" t="s">
        <v>2998</v>
      </c>
      <c r="C106" s="0" t="s">
        <v>2999</v>
      </c>
    </row>
    <row customHeight="1" ht="11.25">
      <c r="A107" s="0" t="s">
        <v>2993</v>
      </c>
      <c r="B107" s="0" t="s">
        <v>3000</v>
      </c>
      <c r="C107" s="0" t="s">
        <v>3001</v>
      </c>
    </row>
    <row customHeight="1" ht="11.25">
      <c r="A108" s="0" t="s">
        <v>2993</v>
      </c>
      <c r="B108" s="0" t="s">
        <v>3002</v>
      </c>
      <c r="C108" s="0" t="s">
        <v>3003</v>
      </c>
    </row>
    <row customHeight="1" ht="11.25">
      <c r="A109" s="0" t="s">
        <v>2993</v>
      </c>
      <c r="B109" s="0" t="s">
        <v>3004</v>
      </c>
      <c r="C109" s="0" t="s">
        <v>3005</v>
      </c>
    </row>
    <row customHeight="1" ht="11.25">
      <c r="A110" s="0" t="s">
        <v>2993</v>
      </c>
      <c r="B110" s="0" t="s">
        <v>3006</v>
      </c>
      <c r="C110" s="0" t="s">
        <v>3007</v>
      </c>
    </row>
    <row customHeight="1" ht="11.25">
      <c r="A111" s="0" t="s">
        <v>3008</v>
      </c>
      <c r="B111" s="0" t="s">
        <v>3009</v>
      </c>
      <c r="C111" s="0" t="s">
        <v>3010</v>
      </c>
    </row>
    <row customHeight="1" ht="11.25">
      <c r="A112" s="0" t="s">
        <v>3008</v>
      </c>
      <c r="B112" s="0" t="s">
        <v>3011</v>
      </c>
      <c r="C112" s="0" t="s">
        <v>3012</v>
      </c>
    </row>
    <row customHeight="1" ht="11.25">
      <c r="A113" s="0" t="s">
        <v>3008</v>
      </c>
      <c r="B113" s="0" t="s">
        <v>3013</v>
      </c>
      <c r="C113" s="0" t="s">
        <v>3014</v>
      </c>
    </row>
    <row customHeight="1" ht="11.25">
      <c r="A114" s="0" t="s">
        <v>3008</v>
      </c>
      <c r="B114" s="0" t="s">
        <v>3015</v>
      </c>
      <c r="C114" s="0" t="s">
        <v>3016</v>
      </c>
    </row>
    <row customHeight="1" ht="11.25">
      <c r="A115" s="0" t="s">
        <v>3008</v>
      </c>
      <c r="B115" s="0" t="s">
        <v>3017</v>
      </c>
      <c r="C115" s="0" t="s">
        <v>3018</v>
      </c>
    </row>
    <row customHeight="1" ht="11.25">
      <c r="A116" s="0" t="s">
        <v>3008</v>
      </c>
      <c r="B116" s="0" t="s">
        <v>3019</v>
      </c>
      <c r="C116" s="0" t="s">
        <v>3020</v>
      </c>
    </row>
    <row customHeight="1" ht="11.25">
      <c r="A117" s="0" t="s">
        <v>3008</v>
      </c>
      <c r="B117" s="0" t="s">
        <v>3021</v>
      </c>
      <c r="C117" s="0" t="s">
        <v>3022</v>
      </c>
    </row>
    <row customHeight="1" ht="11.25">
      <c r="A118" s="0" t="s">
        <v>3023</v>
      </c>
      <c r="B118" s="0" t="s">
        <v>3024</v>
      </c>
      <c r="C118" s="0" t="s">
        <v>3025</v>
      </c>
    </row>
    <row customHeight="1" ht="11.25">
      <c r="A119" s="0" t="s">
        <v>3023</v>
      </c>
      <c r="B119" s="0" t="s">
        <v>3026</v>
      </c>
      <c r="C119" s="0" t="s">
        <v>3027</v>
      </c>
    </row>
    <row customHeight="1" ht="11.25">
      <c r="A120" s="0" t="s">
        <v>3023</v>
      </c>
      <c r="B120" s="0" t="s">
        <v>3028</v>
      </c>
      <c r="C120" s="0" t="s">
        <v>3029</v>
      </c>
    </row>
    <row customHeight="1" ht="11.25">
      <c r="A121" s="0" t="s">
        <v>3023</v>
      </c>
      <c r="B121" s="0" t="s">
        <v>3030</v>
      </c>
      <c r="C121" s="0" t="s">
        <v>3031</v>
      </c>
    </row>
    <row customHeight="1" ht="11.25">
      <c r="A122" s="0" t="s">
        <v>3023</v>
      </c>
      <c r="B122" s="0" t="s">
        <v>3032</v>
      </c>
      <c r="C122" s="0" t="s">
        <v>3033</v>
      </c>
    </row>
    <row customHeight="1" ht="11.25">
      <c r="A123" s="0" t="s">
        <v>3023</v>
      </c>
      <c r="B123" s="0" t="s">
        <v>3034</v>
      </c>
      <c r="C123" s="0" t="s">
        <v>3035</v>
      </c>
    </row>
    <row customHeight="1" ht="11.25">
      <c r="A124" s="0" t="s">
        <v>3036</v>
      </c>
      <c r="B124" s="0" t="s">
        <v>3037</v>
      </c>
      <c r="C124" s="0" t="s">
        <v>3038</v>
      </c>
    </row>
    <row customHeight="1" ht="11.25">
      <c r="A125" s="0" t="s">
        <v>3036</v>
      </c>
      <c r="B125" s="0" t="s">
        <v>3039</v>
      </c>
      <c r="C125" s="0" t="s">
        <v>3040</v>
      </c>
    </row>
    <row customHeight="1" ht="11.25">
      <c r="A126" s="0" t="s">
        <v>3036</v>
      </c>
      <c r="B126" s="0" t="s">
        <v>3041</v>
      </c>
      <c r="C126" s="0" t="s">
        <v>3042</v>
      </c>
    </row>
    <row customHeight="1" ht="11.25">
      <c r="A127" s="0" t="s">
        <v>3036</v>
      </c>
      <c r="B127" s="0" t="s">
        <v>3043</v>
      </c>
      <c r="C127" s="0" t="s">
        <v>3044</v>
      </c>
    </row>
    <row customHeight="1" ht="11.25">
      <c r="A128" s="0" t="s">
        <v>3036</v>
      </c>
      <c r="B128" s="0" t="s">
        <v>3045</v>
      </c>
      <c r="C128" s="0" t="s">
        <v>3046</v>
      </c>
    </row>
    <row customHeight="1" ht="11.25">
      <c r="A129" s="0" t="s">
        <v>3036</v>
      </c>
      <c r="B129" s="0" t="s">
        <v>3047</v>
      </c>
      <c r="C129" s="0" t="s">
        <v>3048</v>
      </c>
    </row>
    <row customHeight="1" ht="11.25">
      <c r="A130" s="0" t="s">
        <v>3049</v>
      </c>
      <c r="B130" s="0" t="s">
        <v>3050</v>
      </c>
      <c r="C130" s="0" t="s">
        <v>3051</v>
      </c>
    </row>
    <row customHeight="1" ht="11.25">
      <c r="A131" s="0" t="s">
        <v>3049</v>
      </c>
      <c r="B131" s="0" t="s">
        <v>3052</v>
      </c>
      <c r="C131" s="0" t="s">
        <v>3053</v>
      </c>
    </row>
    <row customHeight="1" ht="11.25">
      <c r="A132" s="0" t="s">
        <v>3049</v>
      </c>
      <c r="B132" s="0" t="s">
        <v>3054</v>
      </c>
      <c r="C132" s="0" t="s">
        <v>3055</v>
      </c>
    </row>
    <row customHeight="1" ht="11.25">
      <c r="A133" s="0" t="s">
        <v>3049</v>
      </c>
      <c r="B133" s="0" t="s">
        <v>3056</v>
      </c>
      <c r="C133" s="0" t="s">
        <v>3057</v>
      </c>
    </row>
    <row customHeight="1" ht="11.25">
      <c r="A134" s="0" t="s">
        <v>3049</v>
      </c>
      <c r="B134" s="0" t="s">
        <v>3058</v>
      </c>
      <c r="C134" s="0" t="s">
        <v>3059</v>
      </c>
    </row>
    <row customHeight="1" ht="11.25">
      <c r="A135" s="0" t="s">
        <v>3049</v>
      </c>
      <c r="B135" s="0" t="s">
        <v>3060</v>
      </c>
      <c r="C135" s="0" t="s">
        <v>3061</v>
      </c>
    </row>
    <row customHeight="1" ht="11.25">
      <c r="A136" s="0" t="s">
        <v>3049</v>
      </c>
      <c r="B136" s="0" t="s">
        <v>3062</v>
      </c>
      <c r="C136" s="0" t="s">
        <v>3063</v>
      </c>
    </row>
    <row customHeight="1" ht="11.25">
      <c r="A137" s="0" t="s">
        <v>3049</v>
      </c>
      <c r="B137" s="0" t="s">
        <v>2875</v>
      </c>
      <c r="C137" s="0" t="s">
        <v>3064</v>
      </c>
    </row>
    <row customHeight="1" ht="11.25">
      <c r="A138" s="0" t="s">
        <v>3065</v>
      </c>
      <c r="B138" s="0" t="s">
        <v>3066</v>
      </c>
      <c r="C138" s="0" t="s">
        <v>3067</v>
      </c>
    </row>
    <row customHeight="1" ht="11.25">
      <c r="A139" s="0" t="s">
        <v>3065</v>
      </c>
      <c r="B139" s="0" t="s">
        <v>3068</v>
      </c>
      <c r="C139" s="0" t="s">
        <v>3069</v>
      </c>
    </row>
    <row customHeight="1" ht="11.25">
      <c r="A140" s="0" t="s">
        <v>3065</v>
      </c>
      <c r="B140" s="0" t="s">
        <v>3070</v>
      </c>
      <c r="C140" s="0" t="s">
        <v>3071</v>
      </c>
    </row>
    <row customHeight="1" ht="11.25">
      <c r="A141" s="0" t="s">
        <v>3065</v>
      </c>
      <c r="B141" s="0" t="s">
        <v>3072</v>
      </c>
      <c r="C141" s="0" t="s">
        <v>3073</v>
      </c>
    </row>
    <row customHeight="1" ht="11.25">
      <c r="A142" s="0" t="s">
        <v>3065</v>
      </c>
      <c r="B142" s="0" t="s">
        <v>3074</v>
      </c>
      <c r="C142" s="0" t="s">
        <v>3075</v>
      </c>
    </row>
    <row customHeight="1" ht="11.25">
      <c r="A143" s="0" t="s">
        <v>3065</v>
      </c>
      <c r="B143" s="0" t="s">
        <v>3076</v>
      </c>
      <c r="C143" s="0" t="s">
        <v>3077</v>
      </c>
    </row>
    <row customHeight="1" ht="11.25">
      <c r="A144" s="0" t="s">
        <v>3065</v>
      </c>
      <c r="B144" s="0" t="s">
        <v>3078</v>
      </c>
      <c r="C144" s="0" t="s">
        <v>3079</v>
      </c>
    </row>
    <row customHeight="1" ht="11.25">
      <c r="A145" s="0" t="s">
        <v>3065</v>
      </c>
      <c r="B145" s="0" t="s">
        <v>3080</v>
      </c>
      <c r="C145" s="0" t="s">
        <v>3081</v>
      </c>
    </row>
    <row customHeight="1" ht="11.25">
      <c r="A146" s="0" t="s">
        <v>3065</v>
      </c>
      <c r="B146" s="0" t="s">
        <v>3082</v>
      </c>
      <c r="C146" s="0" t="s">
        <v>3083</v>
      </c>
    </row>
    <row customHeight="1" ht="11.25">
      <c r="A147" s="0" t="s">
        <v>3065</v>
      </c>
      <c r="B147" s="0" t="s">
        <v>3084</v>
      </c>
      <c r="C147" s="0" t="s">
        <v>3085</v>
      </c>
    </row>
    <row customHeight="1" ht="11.25">
      <c r="A148" s="0" t="s">
        <v>3086</v>
      </c>
      <c r="B148" s="0" t="s">
        <v>3086</v>
      </c>
      <c r="C148" s="0" t="s">
        <v>3087</v>
      </c>
    </row>
    <row customHeight="1" ht="11.25">
      <c r="A149" s="0" t="s">
        <v>394</v>
      </c>
      <c r="B149" s="0" t="s">
        <v>394</v>
      </c>
      <c r="C149" s="0" t="s">
        <v>395</v>
      </c>
    </row>
    <row customHeight="1" ht="11.25">
      <c r="A150" s="0" t="s">
        <v>3088</v>
      </c>
      <c r="B150" s="0" t="s">
        <v>3088</v>
      </c>
      <c r="C150" s="0" t="s">
        <v>3089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A3028-5CC1-88D8-5E68-DDF1C8325998}" mc:Ignorable="x14ac xr xr2 xr3">
  <sheetPr>
    <tabColor rgb="FFFFCC99"/>
  </sheetPr>
  <dimension ref="A1:S159"/>
  <sheetViews>
    <sheetView topLeftCell="A1" showGridLines="0" workbookViewId="0">
      <selection activeCell="A1" sqref="A1"/>
    </sheetView>
  </sheetViews>
  <sheetFormatPr defaultColWidth="9.140625" customHeight="1" defaultRowHeight="11.25"/>
  <sheetData>
    <row customHeight="1" ht="11.25">
      <c r="A1" s="0" t="s">
        <v>3090</v>
      </c>
      <c r="B1" s="0" t="s">
        <v>3091</v>
      </c>
      <c r="C1" s="0" t="s">
        <v>3092</v>
      </c>
      <c r="D1" s="0" t="s">
        <v>3093</v>
      </c>
      <c r="E1" s="0" t="s">
        <v>3094</v>
      </c>
      <c r="F1" s="0" t="s">
        <v>3095</v>
      </c>
      <c r="G1" s="0" t="s">
        <v>3096</v>
      </c>
      <c r="H1" s="0" t="s">
        <v>3097</v>
      </c>
      <c r="I1" s="0" t="s">
        <v>3098</v>
      </c>
      <c r="J1" s="0" t="s">
        <v>3099</v>
      </c>
      <c r="K1" s="0" t="s">
        <v>3100</v>
      </c>
      <c r="L1" s="0" t="s">
        <v>3101</v>
      </c>
      <c r="M1" s="0" t="s">
        <v>3102</v>
      </c>
      <c r="N1" s="0" t="s">
        <v>3103</v>
      </c>
      <c r="O1" s="0" t="s">
        <v>3104</v>
      </c>
      <c r="P1" s="0" t="s">
        <v>3105</v>
      </c>
      <c r="Q1" s="0" t="s">
        <v>3106</v>
      </c>
      <c r="R1" s="0" t="s">
        <v>3107</v>
      </c>
      <c r="S1" s="0" t="s">
        <v>3108</v>
      </c>
    </row>
    <row customHeight="1" ht="11.25">
      <c r="A2" s="0">
        <v>2640</v>
      </c>
      <c r="B2" s="0" t="s">
        <v>114</v>
      </c>
      <c r="C2" s="0">
        <v>26644830</v>
      </c>
      <c r="D2" s="0" t="s">
        <v>3109</v>
      </c>
      <c r="E2" s="0" t="s">
        <v>3110</v>
      </c>
      <c r="F2" s="0" t="s">
        <v>3111</v>
      </c>
      <c r="G2" s="0" t="s">
        <v>3112</v>
      </c>
      <c r="H2" s="0" t="s">
        <v>3113</v>
      </c>
      <c r="I2" s="0" t="s">
        <v>3114</v>
      </c>
      <c r="J2" s="0" t="s">
        <v>156</v>
      </c>
      <c r="K2" s="0" t="s">
        <v>3115</v>
      </c>
      <c r="L2" s="0" t="s">
        <v>3115</v>
      </c>
      <c r="M2" s="0" t="s">
        <v>3116</v>
      </c>
      <c r="N2" s="0" t="s">
        <v>3117</v>
      </c>
      <c r="O2" s="0" t="s">
        <v>3118</v>
      </c>
      <c r="P2" s="0" t="s">
        <v>3119</v>
      </c>
      <c r="Q2" s="0" t="s">
        <v>3120</v>
      </c>
      <c r="R2" s="0" t="b">
        <v>1</v>
      </c>
      <c r="S2" s="0" t="s">
        <v>3121</v>
      </c>
    </row>
    <row customHeight="1" ht="11.25">
      <c r="A3" s="0">
        <v>2640</v>
      </c>
      <c r="B3" s="0" t="s">
        <v>114</v>
      </c>
      <c r="C3" s="0">
        <v>26319988</v>
      </c>
      <c r="D3" s="0" t="s">
        <v>3122</v>
      </c>
      <c r="E3" s="0" t="s">
        <v>3123</v>
      </c>
      <c r="F3" s="0" t="s">
        <v>3124</v>
      </c>
      <c r="G3" s="0" t="s">
        <v>149</v>
      </c>
      <c r="H3" s="0" t="s">
        <v>3125</v>
      </c>
      <c r="I3" s="0" t="s">
        <v>3126</v>
      </c>
      <c r="J3" s="0" t="s">
        <v>3127</v>
      </c>
      <c r="K3" s="0" t="s">
        <v>3128</v>
      </c>
      <c r="L3" s="0" t="s">
        <v>3128</v>
      </c>
      <c r="M3" s="0" t="s">
        <v>3129</v>
      </c>
      <c r="N3" s="0" t="s">
        <v>3130</v>
      </c>
      <c r="O3" s="0" t="s">
        <v>3131</v>
      </c>
      <c r="P3" s="0" t="s">
        <v>179</v>
      </c>
      <c r="Q3" s="0" t="s">
        <v>3132</v>
      </c>
      <c r="R3" s="0" t="b">
        <v>0</v>
      </c>
      <c r="S3" s="0" t="s">
        <v>3121</v>
      </c>
    </row>
    <row customHeight="1" ht="11.25">
      <c r="A4" s="0">
        <v>2640</v>
      </c>
      <c r="B4" s="0" t="s">
        <v>114</v>
      </c>
      <c r="C4" s="0">
        <v>26381367</v>
      </c>
      <c r="D4" s="0" t="s">
        <v>3133</v>
      </c>
      <c r="E4" s="0" t="s">
        <v>3134</v>
      </c>
      <c r="F4" s="0" t="s">
        <v>3135</v>
      </c>
      <c r="G4" s="0" t="s">
        <v>3136</v>
      </c>
      <c r="H4" s="0" t="s">
        <v>3137</v>
      </c>
      <c r="I4" s="0" t="s">
        <v>3138</v>
      </c>
      <c r="J4" s="0" t="s">
        <v>3139</v>
      </c>
      <c r="K4" s="0" t="s">
        <v>3140</v>
      </c>
      <c r="L4" s="0" t="s">
        <v>3140</v>
      </c>
      <c r="M4" s="0" t="s">
        <v>3141</v>
      </c>
      <c r="N4" s="0" t="s">
        <v>3142</v>
      </c>
      <c r="O4" s="0" t="s">
        <v>3143</v>
      </c>
      <c r="P4" s="0" t="s">
        <v>3144</v>
      </c>
      <c r="Q4" s="0" t="s">
        <v>3145</v>
      </c>
      <c r="R4" s="0" t="b">
        <v>0</v>
      </c>
      <c r="S4" s="0" t="s">
        <v>3121</v>
      </c>
    </row>
    <row customHeight="1" ht="11.25">
      <c r="A5" s="0">
        <v>2640</v>
      </c>
      <c r="B5" s="0" t="s">
        <v>114</v>
      </c>
      <c r="C5" s="0">
        <v>26375430</v>
      </c>
      <c r="D5" s="0" t="s">
        <v>3146</v>
      </c>
      <c r="E5" s="0" t="s">
        <v>3147</v>
      </c>
      <c r="F5" s="0" t="s">
        <v>3148</v>
      </c>
      <c r="G5" s="0" t="s">
        <v>3149</v>
      </c>
      <c r="H5" s="0" t="s">
        <v>3150</v>
      </c>
      <c r="I5" s="0" t="s">
        <v>3151</v>
      </c>
      <c r="J5" s="0" t="s">
        <v>3139</v>
      </c>
      <c r="K5" s="0" t="s">
        <v>3152</v>
      </c>
      <c r="L5" s="0" t="s">
        <v>3152</v>
      </c>
      <c r="M5" s="0" t="s">
        <v>3153</v>
      </c>
      <c r="N5" s="0" t="s">
        <v>3154</v>
      </c>
      <c r="O5" s="0" t="s">
        <v>3155</v>
      </c>
      <c r="P5" s="0" t="s">
        <v>3119</v>
      </c>
      <c r="Q5" s="0" t="s">
        <v>3156</v>
      </c>
      <c r="R5" s="0" t="b">
        <v>0</v>
      </c>
      <c r="S5" s="0" t="s">
        <v>3121</v>
      </c>
    </row>
    <row customHeight="1" ht="11.25">
      <c r="A6" s="0">
        <v>2640</v>
      </c>
      <c r="B6" s="0" t="s">
        <v>114</v>
      </c>
      <c r="C6" s="0">
        <v>26375482</v>
      </c>
      <c r="D6" s="0" t="s">
        <v>3157</v>
      </c>
      <c r="E6" s="0" t="s">
        <v>3158</v>
      </c>
      <c r="F6" s="0" t="s">
        <v>3159</v>
      </c>
      <c r="G6" s="0" t="s">
        <v>3160</v>
      </c>
      <c r="H6" s="0" t="s">
        <v>3161</v>
      </c>
      <c r="I6" s="0" t="s">
        <v>3162</v>
      </c>
      <c r="J6" s="0" t="s">
        <v>3127</v>
      </c>
      <c r="K6" s="0" t="s">
        <v>3163</v>
      </c>
      <c r="L6" s="0" t="s">
        <v>3164</v>
      </c>
      <c r="M6" s="0" t="s">
        <v>3165</v>
      </c>
      <c r="N6" s="0" t="s">
        <v>3166</v>
      </c>
      <c r="O6" s="0" t="s">
        <v>3167</v>
      </c>
      <c r="P6" s="0" t="s">
        <v>3119</v>
      </c>
      <c r="Q6" s="0" t="s">
        <v>3168</v>
      </c>
      <c r="R6" s="0" t="b">
        <v>0</v>
      </c>
      <c r="S6" s="0" t="s">
        <v>3121</v>
      </c>
    </row>
    <row customHeight="1" ht="11.25">
      <c r="A7" s="0">
        <v>2640</v>
      </c>
      <c r="B7" s="0" t="s">
        <v>114</v>
      </c>
      <c r="C7" s="0">
        <v>28033183</v>
      </c>
      <c r="D7" s="0" t="s">
        <v>3169</v>
      </c>
      <c r="E7" s="0" t="s">
        <v>3170</v>
      </c>
      <c r="F7" s="0" t="s">
        <v>3171</v>
      </c>
      <c r="G7" s="0" t="s">
        <v>3172</v>
      </c>
      <c r="H7" s="0" t="s">
        <v>3173</v>
      </c>
      <c r="I7" s="0" t="s">
        <v>3174</v>
      </c>
      <c r="J7" s="0" t="s">
        <v>3139</v>
      </c>
      <c r="K7" s="0" t="s">
        <v>3175</v>
      </c>
      <c r="L7" s="0" t="s">
        <v>3175</v>
      </c>
      <c r="M7" s="0" t="s">
        <v>3176</v>
      </c>
      <c r="N7" s="0" t="s">
        <v>3177</v>
      </c>
      <c r="O7" s="0" t="s">
        <v>3178</v>
      </c>
      <c r="P7" s="0" t="s">
        <v>3179</v>
      </c>
      <c r="Q7" s="0" t="s">
        <v>3180</v>
      </c>
      <c r="R7" s="0" t="b">
        <v>0</v>
      </c>
      <c r="S7" s="0" t="s">
        <v>3121</v>
      </c>
    </row>
    <row customHeight="1" ht="11.25">
      <c r="A8" s="0">
        <v>2640</v>
      </c>
      <c r="B8" s="0" t="s">
        <v>114</v>
      </c>
      <c r="C8" s="0">
        <v>27119761</v>
      </c>
      <c r="D8" s="0" t="s">
        <v>3181</v>
      </c>
      <c r="E8" s="0" t="s">
        <v>3182</v>
      </c>
      <c r="F8" s="0" t="s">
        <v>3183</v>
      </c>
      <c r="G8" s="0" t="s">
        <v>3184</v>
      </c>
      <c r="H8" s="0" t="s">
        <v>3185</v>
      </c>
      <c r="I8" s="0" t="s">
        <v>3186</v>
      </c>
      <c r="J8" s="0" t="s">
        <v>3139</v>
      </c>
      <c r="L8" s="0" t="s">
        <v>3187</v>
      </c>
      <c r="M8" s="0" t="s">
        <v>3188</v>
      </c>
      <c r="N8" s="0" t="s">
        <v>3189</v>
      </c>
      <c r="O8" s="0" t="s">
        <v>3190</v>
      </c>
      <c r="P8" s="0" t="s">
        <v>3191</v>
      </c>
      <c r="Q8" s="0" t="s">
        <v>190</v>
      </c>
      <c r="R8" s="0" t="b">
        <v>0</v>
      </c>
      <c r="S8" s="0" t="s">
        <v>3121</v>
      </c>
    </row>
    <row customHeight="1" ht="11.25">
      <c r="A9" s="0">
        <v>2640</v>
      </c>
      <c r="B9" s="0" t="s">
        <v>114</v>
      </c>
      <c r="C9" s="0">
        <v>27270908</v>
      </c>
      <c r="D9" s="0" t="s">
        <v>3192</v>
      </c>
      <c r="E9" s="0" t="s">
        <v>3193</v>
      </c>
      <c r="F9" s="0" t="s">
        <v>3194</v>
      </c>
      <c r="G9" s="0" t="s">
        <v>3195</v>
      </c>
      <c r="H9" s="0" t="s">
        <v>3196</v>
      </c>
      <c r="I9" s="0" t="s">
        <v>3197</v>
      </c>
      <c r="J9" s="0" t="s">
        <v>3198</v>
      </c>
      <c r="K9" s="0" t="s">
        <v>3199</v>
      </c>
      <c r="L9" s="0" t="s">
        <v>3199</v>
      </c>
      <c r="M9" s="0" t="s">
        <v>3200</v>
      </c>
      <c r="N9" s="0" t="s">
        <v>3201</v>
      </c>
      <c r="O9" s="0" t="s">
        <v>3202</v>
      </c>
      <c r="P9" s="0" t="s">
        <v>3203</v>
      </c>
      <c r="Q9" s="0" t="s">
        <v>3204</v>
      </c>
      <c r="R9" s="0" t="b">
        <v>1</v>
      </c>
      <c r="S9" s="0" t="s">
        <v>3121</v>
      </c>
    </row>
    <row customHeight="1" ht="11.25">
      <c r="A10" s="0">
        <v>2640</v>
      </c>
      <c r="B10" s="0" t="s">
        <v>114</v>
      </c>
      <c r="C10" s="0">
        <v>26375441</v>
      </c>
      <c r="D10" s="0" t="s">
        <v>3205</v>
      </c>
      <c r="E10" s="0" t="s">
        <v>3206</v>
      </c>
      <c r="F10" s="0" t="s">
        <v>3207</v>
      </c>
      <c r="G10" s="0" t="s">
        <v>3208</v>
      </c>
      <c r="H10" s="0" t="s">
        <v>3209</v>
      </c>
      <c r="J10" s="0" t="s">
        <v>3210</v>
      </c>
      <c r="K10" s="0" t="s">
        <v>3211</v>
      </c>
      <c r="L10" s="0" t="s">
        <v>3211</v>
      </c>
      <c r="M10" s="0" t="s">
        <v>3212</v>
      </c>
      <c r="N10" s="0" t="s">
        <v>3213</v>
      </c>
      <c r="O10" s="0" t="s">
        <v>3214</v>
      </c>
      <c r="P10" s="0" t="s">
        <v>3215</v>
      </c>
      <c r="Q10" s="0" t="s">
        <v>190</v>
      </c>
      <c r="R10" s="0" t="b">
        <v>1</v>
      </c>
      <c r="S10" s="0" t="s">
        <v>3121</v>
      </c>
    </row>
    <row customHeight="1" ht="11.25">
      <c r="A11" s="0">
        <v>2640</v>
      </c>
      <c r="B11" s="0" t="s">
        <v>114</v>
      </c>
      <c r="C11" s="0">
        <v>26812367</v>
      </c>
      <c r="D11" s="0" t="s">
        <v>3216</v>
      </c>
      <c r="E11" s="0" t="s">
        <v>3216</v>
      </c>
      <c r="F11" s="0" t="s">
        <v>3217</v>
      </c>
      <c r="G11" s="0" t="s">
        <v>3218</v>
      </c>
      <c r="H11" s="0" t="s">
        <v>3219</v>
      </c>
      <c r="J11" s="0" t="s">
        <v>3127</v>
      </c>
      <c r="K11" s="0" t="s">
        <v>3220</v>
      </c>
      <c r="L11" s="0" t="s">
        <v>3221</v>
      </c>
      <c r="M11" s="0" t="s">
        <v>3222</v>
      </c>
      <c r="N11" s="0" t="s">
        <v>3223</v>
      </c>
      <c r="O11" s="0" t="s">
        <v>3224</v>
      </c>
      <c r="P11" s="0" t="s">
        <v>3225</v>
      </c>
      <c r="Q11" s="0" t="s">
        <v>3226</v>
      </c>
      <c r="R11" s="0" t="b">
        <v>0</v>
      </c>
      <c r="S11" s="0" t="s">
        <v>3121</v>
      </c>
    </row>
    <row customHeight="1" ht="11.25">
      <c r="A12" s="0">
        <v>2640</v>
      </c>
      <c r="B12" s="0" t="s">
        <v>114</v>
      </c>
      <c r="C12" s="0">
        <v>26355818</v>
      </c>
      <c r="D12" s="0" t="s">
        <v>3227</v>
      </c>
      <c r="E12" s="0" t="s">
        <v>3228</v>
      </c>
      <c r="F12" s="0" t="s">
        <v>3229</v>
      </c>
      <c r="G12" s="0" t="s">
        <v>3230</v>
      </c>
      <c r="H12" s="0" t="s">
        <v>3231</v>
      </c>
      <c r="I12" s="0" t="s">
        <v>3232</v>
      </c>
      <c r="J12" s="0" t="s">
        <v>3139</v>
      </c>
      <c r="K12" s="0" t="s">
        <v>3233</v>
      </c>
      <c r="L12" s="0" t="s">
        <v>3234</v>
      </c>
      <c r="M12" s="0" t="s">
        <v>3235</v>
      </c>
      <c r="N12" s="0" t="s">
        <v>3236</v>
      </c>
      <c r="O12" s="0" t="s">
        <v>3237</v>
      </c>
      <c r="P12" s="0" t="s">
        <v>3119</v>
      </c>
      <c r="Q12" s="0" t="s">
        <v>190</v>
      </c>
      <c r="R12" s="0" t="b">
        <v>0</v>
      </c>
      <c r="S12" s="0" t="s">
        <v>3121</v>
      </c>
    </row>
    <row customHeight="1" ht="11.25">
      <c r="A13" s="0">
        <v>2640</v>
      </c>
      <c r="B13" s="0" t="s">
        <v>114</v>
      </c>
      <c r="C13" s="0">
        <v>30847016</v>
      </c>
      <c r="D13" s="0" t="s">
        <v>3238</v>
      </c>
      <c r="E13" s="0" t="s">
        <v>3238</v>
      </c>
      <c r="F13" s="0" t="s">
        <v>3229</v>
      </c>
      <c r="G13" s="0" t="s">
        <v>3239</v>
      </c>
      <c r="H13" s="0" t="s">
        <v>3231</v>
      </c>
      <c r="J13" s="0" t="s">
        <v>3139</v>
      </c>
      <c r="O13" s="0" t="s">
        <v>3240</v>
      </c>
      <c r="P13" s="0" t="s">
        <v>3241</v>
      </c>
      <c r="R13" s="0" t="b">
        <v>0</v>
      </c>
      <c r="S13" s="0" t="s">
        <v>3121</v>
      </c>
    </row>
    <row customHeight="1" ht="11.25">
      <c r="A14" s="0">
        <v>2640</v>
      </c>
      <c r="B14" s="0" t="s">
        <v>114</v>
      </c>
      <c r="C14" s="0">
        <v>30854193</v>
      </c>
      <c r="D14" s="0" t="s">
        <v>3242</v>
      </c>
      <c r="E14" s="0" t="s">
        <v>3243</v>
      </c>
      <c r="F14" s="0" t="s">
        <v>3244</v>
      </c>
      <c r="G14" s="0" t="s">
        <v>149</v>
      </c>
      <c r="H14" s="0" t="s">
        <v>3245</v>
      </c>
      <c r="I14" s="0" t="s">
        <v>3246</v>
      </c>
      <c r="J14" s="0" t="s">
        <v>3247</v>
      </c>
      <c r="K14" s="0" t="s">
        <v>3248</v>
      </c>
      <c r="L14" s="0" t="s">
        <v>3248</v>
      </c>
      <c r="M14" s="0" t="s">
        <v>3249</v>
      </c>
      <c r="O14" s="0" t="s">
        <v>3250</v>
      </c>
      <c r="P14" s="0" t="s">
        <v>179</v>
      </c>
      <c r="R14" s="0" t="b">
        <v>1</v>
      </c>
      <c r="S14" s="0" t="s">
        <v>3121</v>
      </c>
    </row>
    <row customHeight="1" ht="11.25">
      <c r="A15" s="0">
        <v>2640</v>
      </c>
      <c r="B15" s="0" t="s">
        <v>114</v>
      </c>
      <c r="C15" s="0">
        <v>28435519</v>
      </c>
      <c r="D15" s="0" t="s">
        <v>3251</v>
      </c>
      <c r="E15" s="0" t="s">
        <v>3252</v>
      </c>
      <c r="F15" s="0" t="s">
        <v>3253</v>
      </c>
      <c r="G15" s="0" t="s">
        <v>3184</v>
      </c>
      <c r="H15" s="0" t="s">
        <v>3254</v>
      </c>
      <c r="I15" s="0" t="s">
        <v>3255</v>
      </c>
      <c r="J15" s="0" t="s">
        <v>3256</v>
      </c>
      <c r="K15" s="0" t="s">
        <v>3257</v>
      </c>
      <c r="L15" s="0" t="s">
        <v>3257</v>
      </c>
      <c r="M15" s="0" t="s">
        <v>3258</v>
      </c>
      <c r="N15" s="0" t="s">
        <v>190</v>
      </c>
      <c r="O15" s="0" t="s">
        <v>3259</v>
      </c>
      <c r="P15" s="0" t="s">
        <v>179</v>
      </c>
      <c r="Q15" s="0" t="s">
        <v>190</v>
      </c>
      <c r="R15" s="0" t="b">
        <v>1</v>
      </c>
      <c r="S15" s="0" t="s">
        <v>3121</v>
      </c>
    </row>
    <row customHeight="1" ht="11.25">
      <c r="A16" s="0">
        <v>2640</v>
      </c>
      <c r="B16" s="0" t="s">
        <v>114</v>
      </c>
      <c r="C16" s="0">
        <v>30991982</v>
      </c>
      <c r="D16" s="0" t="s">
        <v>3260</v>
      </c>
      <c r="E16" s="0" t="s">
        <v>3261</v>
      </c>
      <c r="F16" s="0" t="s">
        <v>3262</v>
      </c>
      <c r="G16" s="0" t="s">
        <v>3263</v>
      </c>
      <c r="H16" s="0" t="s">
        <v>3264</v>
      </c>
      <c r="I16" s="0" t="s">
        <v>3265</v>
      </c>
      <c r="J16" s="0" t="s">
        <v>3256</v>
      </c>
      <c r="K16" s="0" t="s">
        <v>3266</v>
      </c>
      <c r="L16" s="0" t="s">
        <v>3266</v>
      </c>
      <c r="M16" s="0" t="s">
        <v>3267</v>
      </c>
      <c r="N16" s="0" t="s">
        <v>3268</v>
      </c>
      <c r="O16" s="0" t="s">
        <v>3269</v>
      </c>
      <c r="P16" s="0" t="s">
        <v>179</v>
      </c>
      <c r="R16" s="0" t="b">
        <v>1</v>
      </c>
      <c r="S16" s="0" t="s">
        <v>3121</v>
      </c>
    </row>
    <row customHeight="1" ht="11.25">
      <c r="A17" s="0">
        <v>2640</v>
      </c>
      <c r="B17" s="0" t="s">
        <v>114</v>
      </c>
      <c r="C17" s="0">
        <v>31267095</v>
      </c>
      <c r="D17" s="0" t="s">
        <v>3270</v>
      </c>
      <c r="E17" s="0" t="s">
        <v>3271</v>
      </c>
      <c r="F17" s="0" t="s">
        <v>3272</v>
      </c>
      <c r="G17" s="0" t="s">
        <v>3273</v>
      </c>
      <c r="H17" s="0" t="s">
        <v>3274</v>
      </c>
      <c r="J17" s="0" t="s">
        <v>3256</v>
      </c>
      <c r="K17" s="0" t="s">
        <v>3275</v>
      </c>
      <c r="L17" s="0" t="s">
        <v>3275</v>
      </c>
      <c r="M17" s="0" t="s">
        <v>3276</v>
      </c>
      <c r="N17" s="0" t="s">
        <v>3277</v>
      </c>
      <c r="O17" s="0" t="s">
        <v>3278</v>
      </c>
      <c r="P17" s="0" t="s">
        <v>179</v>
      </c>
      <c r="R17" s="0" t="b">
        <v>1</v>
      </c>
      <c r="S17" s="0" t="s">
        <v>3121</v>
      </c>
    </row>
    <row customHeight="1" ht="11.25">
      <c r="A18" s="0">
        <v>2640</v>
      </c>
      <c r="B18" s="0" t="s">
        <v>114</v>
      </c>
      <c r="C18" s="0">
        <v>31310155</v>
      </c>
      <c r="D18" s="0" t="s">
        <v>3279</v>
      </c>
      <c r="E18" s="0" t="s">
        <v>3280</v>
      </c>
      <c r="F18" s="0" t="s">
        <v>3281</v>
      </c>
      <c r="G18" s="0" t="s">
        <v>3184</v>
      </c>
      <c r="H18" s="0" t="s">
        <v>3282</v>
      </c>
      <c r="I18" s="0" t="s">
        <v>3283</v>
      </c>
      <c r="J18" s="0" t="s">
        <v>3256</v>
      </c>
      <c r="K18" s="0" t="s">
        <v>3284</v>
      </c>
      <c r="L18" s="0" t="s">
        <v>3284</v>
      </c>
      <c r="M18" s="0" t="s">
        <v>3285</v>
      </c>
      <c r="N18" s="0" t="s">
        <v>3286</v>
      </c>
      <c r="O18" s="0" t="s">
        <v>3287</v>
      </c>
      <c r="P18" s="0" t="s">
        <v>179</v>
      </c>
      <c r="R18" s="0" t="b">
        <v>1</v>
      </c>
      <c r="S18" s="0" t="s">
        <v>3121</v>
      </c>
    </row>
    <row customHeight="1" ht="11.25">
      <c r="A19" s="0">
        <v>2640</v>
      </c>
      <c r="B19" s="0" t="s">
        <v>114</v>
      </c>
      <c r="C19" s="0">
        <v>26461708</v>
      </c>
      <c r="D19" s="0" t="s">
        <v>3288</v>
      </c>
      <c r="E19" s="0" t="s">
        <v>3289</v>
      </c>
      <c r="F19" s="0" t="s">
        <v>3290</v>
      </c>
      <c r="G19" s="0" t="s">
        <v>3291</v>
      </c>
      <c r="H19" s="0" t="s">
        <v>3292</v>
      </c>
      <c r="I19" s="0" t="s">
        <v>3293</v>
      </c>
      <c r="J19" s="0" t="s">
        <v>3294</v>
      </c>
      <c r="K19" s="0" t="s">
        <v>3295</v>
      </c>
      <c r="L19" s="0" t="s">
        <v>3295</v>
      </c>
      <c r="M19" s="0" t="s">
        <v>3296</v>
      </c>
      <c r="N19" s="0" t="s">
        <v>3297</v>
      </c>
      <c r="O19" s="0" t="s">
        <v>3298</v>
      </c>
      <c r="P19" s="0" t="s">
        <v>179</v>
      </c>
      <c r="Q19" s="0" t="s">
        <v>190</v>
      </c>
      <c r="R19" s="0" t="b">
        <v>1</v>
      </c>
      <c r="S19" s="0" t="s">
        <v>3121</v>
      </c>
    </row>
    <row customHeight="1" ht="11.25">
      <c r="A20" s="0">
        <v>2640</v>
      </c>
      <c r="B20" s="0" t="s">
        <v>114</v>
      </c>
      <c r="C20" s="0">
        <v>26561219</v>
      </c>
      <c r="D20" s="0" t="s">
        <v>3299</v>
      </c>
      <c r="E20" s="0" t="s">
        <v>3300</v>
      </c>
      <c r="F20" s="0" t="s">
        <v>3301</v>
      </c>
      <c r="G20" s="0" t="s">
        <v>3112</v>
      </c>
      <c r="H20" s="0" t="s">
        <v>3302</v>
      </c>
      <c r="I20" s="0" t="s">
        <v>3303</v>
      </c>
      <c r="J20" s="0" t="s">
        <v>3294</v>
      </c>
      <c r="K20" s="0" t="s">
        <v>3304</v>
      </c>
      <c r="L20" s="0" t="s">
        <v>3305</v>
      </c>
      <c r="M20" s="0" t="s">
        <v>3306</v>
      </c>
      <c r="N20" s="0" t="s">
        <v>3307</v>
      </c>
      <c r="O20" s="0" t="s">
        <v>3308</v>
      </c>
      <c r="P20" s="0" t="s">
        <v>3309</v>
      </c>
      <c r="Q20" s="0" t="s">
        <v>190</v>
      </c>
      <c r="R20" s="0" t="b">
        <v>0</v>
      </c>
      <c r="S20" s="0" t="s">
        <v>3121</v>
      </c>
    </row>
    <row customHeight="1" ht="11.25">
      <c r="A21" s="0">
        <v>2640</v>
      </c>
      <c r="B21" s="0" t="s">
        <v>114</v>
      </c>
      <c r="C21" s="0">
        <v>31435551</v>
      </c>
      <c r="D21" s="0" t="s">
        <v>3310</v>
      </c>
      <c r="E21" s="0" t="s">
        <v>3310</v>
      </c>
      <c r="F21" s="0" t="s">
        <v>3311</v>
      </c>
      <c r="G21" s="0" t="s">
        <v>3263</v>
      </c>
      <c r="H21" s="0" t="s">
        <v>3312</v>
      </c>
      <c r="J21" s="0" t="s">
        <v>3294</v>
      </c>
      <c r="K21" s="0" t="s">
        <v>3313</v>
      </c>
      <c r="L21" s="0" t="s">
        <v>3313</v>
      </c>
      <c r="M21" s="0" t="s">
        <v>3314</v>
      </c>
      <c r="N21" s="0" t="s">
        <v>3315</v>
      </c>
      <c r="O21" s="0" t="s">
        <v>3316</v>
      </c>
      <c r="P21" s="0" t="s">
        <v>3317</v>
      </c>
      <c r="R21" s="0" t="b">
        <v>1</v>
      </c>
      <c r="S21" s="0" t="s">
        <v>3121</v>
      </c>
    </row>
    <row customHeight="1" ht="11.25">
      <c r="A22" s="0">
        <v>2640</v>
      </c>
      <c r="B22" s="0" t="s">
        <v>114</v>
      </c>
      <c r="C22" s="0">
        <v>31771478</v>
      </c>
      <c r="D22" s="0" t="s">
        <v>3318</v>
      </c>
      <c r="E22" s="0" t="s">
        <v>3319</v>
      </c>
      <c r="F22" s="0" t="s">
        <v>3320</v>
      </c>
      <c r="G22" s="0" t="s">
        <v>3321</v>
      </c>
      <c r="H22" s="0" t="s">
        <v>3322</v>
      </c>
      <c r="I22" s="0" t="s">
        <v>3323</v>
      </c>
      <c r="K22" s="0" t="s">
        <v>3324</v>
      </c>
      <c r="L22" s="0" t="s">
        <v>3324</v>
      </c>
      <c r="M22" s="0" t="s">
        <v>3325</v>
      </c>
      <c r="N22" s="0" t="s">
        <v>3326</v>
      </c>
      <c r="O22" s="0" t="s">
        <v>3327</v>
      </c>
      <c r="P22" s="0" t="s">
        <v>179</v>
      </c>
      <c r="Q22" s="0" t="s">
        <v>242</v>
      </c>
      <c r="R22" s="0" t="b">
        <v>0</v>
      </c>
      <c r="S22" s="0" t="s">
        <v>3121</v>
      </c>
    </row>
    <row customHeight="1" ht="11.25">
      <c r="A23" s="0">
        <v>2640</v>
      </c>
      <c r="B23" s="0" t="s">
        <v>114</v>
      </c>
      <c r="C23" s="0">
        <v>31507320</v>
      </c>
      <c r="D23" s="0" t="s">
        <v>3328</v>
      </c>
      <c r="E23" s="0" t="s">
        <v>3329</v>
      </c>
      <c r="F23" s="0" t="s">
        <v>3330</v>
      </c>
      <c r="G23" s="0" t="s">
        <v>3263</v>
      </c>
      <c r="H23" s="0" t="s">
        <v>3331</v>
      </c>
      <c r="I23" s="0" t="s">
        <v>3332</v>
      </c>
      <c r="J23" s="0" t="s">
        <v>3294</v>
      </c>
      <c r="K23" s="0" t="s">
        <v>3333</v>
      </c>
      <c r="L23" s="0" t="s">
        <v>3333</v>
      </c>
      <c r="M23" s="0" t="s">
        <v>3334</v>
      </c>
      <c r="O23" s="0" t="s">
        <v>3327</v>
      </c>
      <c r="P23" s="0" t="s">
        <v>3335</v>
      </c>
      <c r="R23" s="0" t="b">
        <v>1</v>
      </c>
      <c r="S23" s="0" t="s">
        <v>3121</v>
      </c>
    </row>
    <row customHeight="1" ht="11.25">
      <c r="A24" s="0">
        <v>2640</v>
      </c>
      <c r="B24" s="0" t="s">
        <v>114</v>
      </c>
      <c r="C24" s="0">
        <v>26545908</v>
      </c>
      <c r="D24" s="0" t="s">
        <v>3336</v>
      </c>
      <c r="E24" s="0" t="s">
        <v>3337</v>
      </c>
      <c r="F24" s="0" t="s">
        <v>3338</v>
      </c>
      <c r="G24" s="0" t="s">
        <v>3291</v>
      </c>
      <c r="H24" s="0" t="s">
        <v>3339</v>
      </c>
      <c r="I24" s="0" t="s">
        <v>3340</v>
      </c>
      <c r="J24" s="0" t="s">
        <v>3294</v>
      </c>
      <c r="K24" s="0" t="s">
        <v>3341</v>
      </c>
      <c r="L24" s="0" t="s">
        <v>3341</v>
      </c>
      <c r="M24" s="0" t="s">
        <v>3342</v>
      </c>
      <c r="N24" s="0" t="s">
        <v>3343</v>
      </c>
      <c r="O24" s="0" t="s">
        <v>3344</v>
      </c>
      <c r="P24" s="0" t="s">
        <v>179</v>
      </c>
      <c r="Q24" s="0" t="s">
        <v>190</v>
      </c>
      <c r="R24" s="0" t="b">
        <v>1</v>
      </c>
      <c r="S24" s="0" t="s">
        <v>3121</v>
      </c>
    </row>
    <row customHeight="1" ht="11.25">
      <c r="A25" s="0">
        <v>2640</v>
      </c>
      <c r="B25" s="0" t="s">
        <v>114</v>
      </c>
      <c r="C25" s="0">
        <v>27221576</v>
      </c>
      <c r="D25" s="0" t="s">
        <v>3345</v>
      </c>
      <c r="E25" s="0" t="s">
        <v>3346</v>
      </c>
      <c r="F25" s="0" t="s">
        <v>3347</v>
      </c>
      <c r="G25" s="0" t="s">
        <v>3263</v>
      </c>
      <c r="H25" s="0" t="s">
        <v>3348</v>
      </c>
      <c r="I25" s="0" t="s">
        <v>3349</v>
      </c>
      <c r="J25" s="0" t="s">
        <v>3294</v>
      </c>
      <c r="K25" s="0" t="s">
        <v>3350</v>
      </c>
      <c r="L25" s="0" t="s">
        <v>3350</v>
      </c>
      <c r="M25" s="0" t="s">
        <v>3351</v>
      </c>
      <c r="N25" s="0" t="s">
        <v>3352</v>
      </c>
      <c r="O25" s="0" t="s">
        <v>3353</v>
      </c>
      <c r="P25" s="0" t="s">
        <v>179</v>
      </c>
      <c r="Q25" s="0" t="s">
        <v>190</v>
      </c>
      <c r="R25" s="0" t="b">
        <v>1</v>
      </c>
      <c r="S25" s="0" t="s">
        <v>3121</v>
      </c>
    </row>
    <row customHeight="1" ht="11.25">
      <c r="A26" s="0">
        <v>2640</v>
      </c>
      <c r="B26" s="0" t="s">
        <v>114</v>
      </c>
      <c r="C26" s="0">
        <v>31004490</v>
      </c>
      <c r="D26" s="0" t="s">
        <v>3354</v>
      </c>
      <c r="E26" s="0" t="s">
        <v>3355</v>
      </c>
      <c r="F26" s="0" t="s">
        <v>3356</v>
      </c>
      <c r="G26" s="0" t="s">
        <v>149</v>
      </c>
      <c r="H26" s="0" t="s">
        <v>3357</v>
      </c>
      <c r="J26" s="0" t="s">
        <v>3294</v>
      </c>
      <c r="K26" s="0" t="s">
        <v>3358</v>
      </c>
      <c r="L26" s="0" t="s">
        <v>3358</v>
      </c>
      <c r="O26" s="0" t="s">
        <v>3359</v>
      </c>
      <c r="P26" s="0" t="s">
        <v>179</v>
      </c>
      <c r="R26" s="0" t="b">
        <v>1</v>
      </c>
      <c r="S26" s="0" t="s">
        <v>3121</v>
      </c>
    </row>
    <row customHeight="1" ht="11.25">
      <c r="A27" s="0">
        <v>2640</v>
      </c>
      <c r="B27" s="0" t="s">
        <v>114</v>
      </c>
      <c r="C27" s="0">
        <v>26476490</v>
      </c>
      <c r="D27" s="0" t="s">
        <v>3360</v>
      </c>
      <c r="E27" s="0" t="s">
        <v>3361</v>
      </c>
      <c r="F27" s="0" t="s">
        <v>3362</v>
      </c>
      <c r="G27" s="0" t="s">
        <v>3195</v>
      </c>
      <c r="H27" s="0" t="s">
        <v>3363</v>
      </c>
      <c r="I27" s="0" t="s">
        <v>3364</v>
      </c>
      <c r="J27" s="0" t="s">
        <v>3294</v>
      </c>
      <c r="K27" s="0" t="s">
        <v>3365</v>
      </c>
      <c r="L27" s="0" t="s">
        <v>3365</v>
      </c>
      <c r="M27" s="0" t="s">
        <v>3366</v>
      </c>
      <c r="N27" s="0" t="s">
        <v>3367</v>
      </c>
      <c r="O27" s="0" t="s">
        <v>3368</v>
      </c>
      <c r="P27" s="0" t="s">
        <v>179</v>
      </c>
      <c r="Q27" s="0" t="s">
        <v>190</v>
      </c>
      <c r="R27" s="0" t="b">
        <v>0</v>
      </c>
      <c r="S27" s="0" t="s">
        <v>3121</v>
      </c>
    </row>
    <row customHeight="1" ht="11.25">
      <c r="A28" s="0">
        <v>2640</v>
      </c>
      <c r="B28" s="0" t="s">
        <v>114</v>
      </c>
      <c r="C28" s="0">
        <v>26375376</v>
      </c>
      <c r="D28" s="0" t="s">
        <v>3369</v>
      </c>
      <c r="E28" s="0" t="s">
        <v>3370</v>
      </c>
      <c r="F28" s="0" t="s">
        <v>3371</v>
      </c>
      <c r="G28" s="0" t="s">
        <v>3195</v>
      </c>
      <c r="H28" s="0" t="s">
        <v>3372</v>
      </c>
      <c r="I28" s="0" t="s">
        <v>3373</v>
      </c>
      <c r="J28" s="0" t="s">
        <v>3294</v>
      </c>
      <c r="K28" s="0" t="s">
        <v>3374</v>
      </c>
      <c r="L28" s="0" t="s">
        <v>3374</v>
      </c>
      <c r="M28" s="0" t="s">
        <v>3375</v>
      </c>
      <c r="N28" s="0" t="s">
        <v>3376</v>
      </c>
      <c r="O28" s="0" t="s">
        <v>3377</v>
      </c>
      <c r="P28" s="0" t="s">
        <v>179</v>
      </c>
      <c r="Q28" s="0" t="s">
        <v>190</v>
      </c>
      <c r="R28" s="0" t="b">
        <v>1</v>
      </c>
      <c r="S28" s="0" t="s">
        <v>3121</v>
      </c>
    </row>
    <row customHeight="1" ht="11.25">
      <c r="A29" s="0">
        <v>2640</v>
      </c>
      <c r="B29" s="0" t="s">
        <v>114</v>
      </c>
      <c r="C29" s="0">
        <v>26375471</v>
      </c>
      <c r="D29" s="0" t="s">
        <v>3378</v>
      </c>
      <c r="E29" s="0" t="s">
        <v>3379</v>
      </c>
      <c r="F29" s="0" t="s">
        <v>3380</v>
      </c>
      <c r="G29" s="0" t="s">
        <v>3381</v>
      </c>
      <c r="H29" s="0" t="s">
        <v>3382</v>
      </c>
      <c r="I29" s="0" t="s">
        <v>3383</v>
      </c>
      <c r="J29" s="0" t="s">
        <v>3294</v>
      </c>
      <c r="K29" s="0" t="s">
        <v>3384</v>
      </c>
      <c r="L29" s="0" t="s">
        <v>3384</v>
      </c>
      <c r="M29" s="0" t="s">
        <v>3385</v>
      </c>
      <c r="N29" s="0" t="s">
        <v>3386</v>
      </c>
      <c r="O29" s="0" t="s">
        <v>3387</v>
      </c>
      <c r="P29" s="0" t="s">
        <v>179</v>
      </c>
      <c r="Q29" s="0" t="s">
        <v>190</v>
      </c>
      <c r="R29" s="0" t="b">
        <v>1</v>
      </c>
      <c r="S29" s="0" t="s">
        <v>3121</v>
      </c>
    </row>
    <row customHeight="1" ht="11.25">
      <c r="A30" s="0">
        <v>2640</v>
      </c>
      <c r="B30" s="0" t="s">
        <v>114</v>
      </c>
      <c r="C30" s="0">
        <v>26472996</v>
      </c>
      <c r="D30" s="0" t="s">
        <v>3388</v>
      </c>
      <c r="E30" s="0" t="s">
        <v>3389</v>
      </c>
      <c r="F30" s="0" t="s">
        <v>3390</v>
      </c>
      <c r="G30" s="0" t="s">
        <v>3195</v>
      </c>
      <c r="H30" s="0" t="s">
        <v>3391</v>
      </c>
      <c r="I30" s="0" t="s">
        <v>3392</v>
      </c>
      <c r="J30" s="0" t="s">
        <v>3294</v>
      </c>
      <c r="K30" s="0" t="s">
        <v>3393</v>
      </c>
      <c r="L30" s="0" t="s">
        <v>3393</v>
      </c>
      <c r="M30" s="0" t="s">
        <v>3394</v>
      </c>
      <c r="N30" s="0" t="s">
        <v>3395</v>
      </c>
      <c r="O30" s="0" t="s">
        <v>3396</v>
      </c>
      <c r="P30" s="0" t="s">
        <v>179</v>
      </c>
      <c r="Q30" s="0" t="s">
        <v>3397</v>
      </c>
      <c r="R30" s="0" t="b">
        <v>1</v>
      </c>
      <c r="S30" s="0" t="s">
        <v>3121</v>
      </c>
    </row>
    <row customHeight="1" ht="11.25">
      <c r="A31" s="0">
        <v>2640</v>
      </c>
      <c r="B31" s="0" t="s">
        <v>114</v>
      </c>
      <c r="C31" s="0">
        <v>26375411</v>
      </c>
      <c r="D31" s="0" t="s">
        <v>3398</v>
      </c>
      <c r="E31" s="0" t="s">
        <v>3399</v>
      </c>
      <c r="F31" s="0" t="s">
        <v>3400</v>
      </c>
      <c r="G31" s="0" t="s">
        <v>3112</v>
      </c>
      <c r="H31" s="0" t="s">
        <v>3401</v>
      </c>
      <c r="I31" s="0" t="s">
        <v>3402</v>
      </c>
      <c r="J31" s="0" t="s">
        <v>3294</v>
      </c>
      <c r="K31" s="0" t="s">
        <v>3403</v>
      </c>
      <c r="L31" s="0" t="s">
        <v>3403</v>
      </c>
      <c r="M31" s="0" t="s">
        <v>3404</v>
      </c>
      <c r="N31" s="0" t="s">
        <v>3405</v>
      </c>
      <c r="O31" s="0" t="s">
        <v>3406</v>
      </c>
      <c r="P31" s="0" t="s">
        <v>179</v>
      </c>
      <c r="Q31" s="0" t="s">
        <v>190</v>
      </c>
      <c r="R31" s="0" t="b">
        <v>1</v>
      </c>
      <c r="S31" s="0" t="s">
        <v>3121</v>
      </c>
    </row>
    <row customHeight="1" ht="11.25">
      <c r="A32" s="0">
        <v>2640</v>
      </c>
      <c r="B32" s="0" t="s">
        <v>114</v>
      </c>
      <c r="C32" s="0">
        <v>26375474</v>
      </c>
      <c r="D32" s="0" t="s">
        <v>3407</v>
      </c>
      <c r="E32" s="0" t="s">
        <v>3408</v>
      </c>
      <c r="F32" s="0" t="s">
        <v>3409</v>
      </c>
      <c r="G32" s="0" t="s">
        <v>3381</v>
      </c>
      <c r="H32" s="0" t="s">
        <v>3410</v>
      </c>
      <c r="I32" s="0" t="s">
        <v>3411</v>
      </c>
      <c r="J32" s="0" t="s">
        <v>3294</v>
      </c>
      <c r="K32" s="0" t="s">
        <v>3412</v>
      </c>
      <c r="L32" s="0" t="s">
        <v>3412</v>
      </c>
      <c r="M32" s="0" t="s">
        <v>3413</v>
      </c>
      <c r="N32" s="0" t="s">
        <v>3414</v>
      </c>
      <c r="O32" s="0" t="s">
        <v>3415</v>
      </c>
      <c r="P32" s="0" t="s">
        <v>179</v>
      </c>
      <c r="Q32" s="0" t="s">
        <v>190</v>
      </c>
      <c r="R32" s="0" t="b">
        <v>1</v>
      </c>
      <c r="S32" s="0" t="s">
        <v>3121</v>
      </c>
    </row>
    <row customHeight="1" ht="11.25">
      <c r="A33" s="0">
        <v>2640</v>
      </c>
      <c r="B33" s="0" t="s">
        <v>114</v>
      </c>
      <c r="C33" s="0">
        <v>26375402</v>
      </c>
      <c r="D33" s="0" t="s">
        <v>3416</v>
      </c>
      <c r="E33" s="0" t="s">
        <v>3417</v>
      </c>
      <c r="F33" s="0" t="s">
        <v>3418</v>
      </c>
      <c r="G33" s="0" t="s">
        <v>3263</v>
      </c>
      <c r="H33" s="0" t="s">
        <v>3419</v>
      </c>
      <c r="I33" s="0" t="s">
        <v>3420</v>
      </c>
      <c r="J33" s="0" t="s">
        <v>3294</v>
      </c>
      <c r="K33" s="0" t="s">
        <v>3421</v>
      </c>
      <c r="L33" s="0" t="s">
        <v>3421</v>
      </c>
      <c r="M33" s="0" t="s">
        <v>3422</v>
      </c>
      <c r="N33" s="0" t="s">
        <v>3423</v>
      </c>
      <c r="O33" s="0" t="s">
        <v>3424</v>
      </c>
      <c r="P33" s="0" t="s">
        <v>179</v>
      </c>
      <c r="Q33" s="0" t="s">
        <v>190</v>
      </c>
      <c r="R33" s="0" t="b">
        <v>0</v>
      </c>
      <c r="S33" s="0" t="s">
        <v>3121</v>
      </c>
    </row>
    <row customHeight="1" ht="11.25">
      <c r="A34" s="0">
        <v>2640</v>
      </c>
      <c r="B34" s="0" t="s">
        <v>114</v>
      </c>
      <c r="C34" s="0">
        <v>26461712</v>
      </c>
      <c r="D34" s="0" t="s">
        <v>3416</v>
      </c>
      <c r="E34" s="0" t="s">
        <v>3425</v>
      </c>
      <c r="F34" s="0" t="s">
        <v>3426</v>
      </c>
      <c r="G34" s="0" t="s">
        <v>3195</v>
      </c>
      <c r="H34" s="0" t="s">
        <v>3427</v>
      </c>
      <c r="I34" s="0" t="s">
        <v>3428</v>
      </c>
      <c r="J34" s="0" t="s">
        <v>3294</v>
      </c>
      <c r="K34" s="0" t="s">
        <v>3429</v>
      </c>
      <c r="L34" s="0" t="s">
        <v>3429</v>
      </c>
      <c r="M34" s="0" t="s">
        <v>3430</v>
      </c>
      <c r="N34" s="0" t="s">
        <v>3431</v>
      </c>
      <c r="O34" s="0" t="s">
        <v>3432</v>
      </c>
      <c r="P34" s="0" t="s">
        <v>3433</v>
      </c>
      <c r="Q34" s="0" t="s">
        <v>190</v>
      </c>
      <c r="R34" s="0" t="b">
        <v>1</v>
      </c>
      <c r="S34" s="0" t="s">
        <v>3121</v>
      </c>
    </row>
    <row customHeight="1" ht="11.25">
      <c r="A35" s="0">
        <v>2640</v>
      </c>
      <c r="B35" s="0" t="s">
        <v>114</v>
      </c>
      <c r="C35" s="0">
        <v>26375423</v>
      </c>
      <c r="D35" s="0" t="s">
        <v>3434</v>
      </c>
      <c r="E35" s="0" t="s">
        <v>3435</v>
      </c>
      <c r="F35" s="0" t="s">
        <v>3436</v>
      </c>
      <c r="G35" s="0" t="s">
        <v>3273</v>
      </c>
      <c r="H35" s="0" t="s">
        <v>3437</v>
      </c>
      <c r="I35" s="0" t="s">
        <v>3438</v>
      </c>
      <c r="J35" s="0" t="s">
        <v>3294</v>
      </c>
      <c r="K35" s="0" t="s">
        <v>3439</v>
      </c>
      <c r="L35" s="0" t="s">
        <v>3439</v>
      </c>
      <c r="M35" s="0" t="s">
        <v>3440</v>
      </c>
      <c r="N35" s="0" t="s">
        <v>3441</v>
      </c>
      <c r="O35" s="0" t="s">
        <v>3442</v>
      </c>
      <c r="P35" s="0" t="s">
        <v>3443</v>
      </c>
      <c r="Q35" s="0" t="s">
        <v>190</v>
      </c>
      <c r="R35" s="0" t="b">
        <v>1</v>
      </c>
      <c r="S35" s="0" t="s">
        <v>3121</v>
      </c>
    </row>
    <row customHeight="1" ht="11.25">
      <c r="A36" s="0">
        <v>2640</v>
      </c>
      <c r="B36" s="0" t="s">
        <v>114</v>
      </c>
      <c r="C36" s="0">
        <v>26476526</v>
      </c>
      <c r="D36" s="0" t="s">
        <v>3444</v>
      </c>
      <c r="E36" s="0" t="s">
        <v>3445</v>
      </c>
      <c r="F36" s="0" t="s">
        <v>3446</v>
      </c>
      <c r="G36" s="0" t="s">
        <v>3195</v>
      </c>
      <c r="H36" s="0" t="s">
        <v>3447</v>
      </c>
      <c r="I36" s="0" t="s">
        <v>3448</v>
      </c>
      <c r="J36" s="0" t="s">
        <v>3294</v>
      </c>
      <c r="K36" s="0" t="s">
        <v>3449</v>
      </c>
      <c r="L36" s="0" t="s">
        <v>3449</v>
      </c>
      <c r="M36" s="0" t="s">
        <v>3450</v>
      </c>
      <c r="N36" s="0" t="s">
        <v>3451</v>
      </c>
      <c r="O36" s="0" t="s">
        <v>3452</v>
      </c>
      <c r="P36" s="0" t="s">
        <v>179</v>
      </c>
      <c r="Q36" s="0" t="s">
        <v>190</v>
      </c>
      <c r="R36" s="0" t="b">
        <v>0</v>
      </c>
      <c r="S36" s="0" t="s">
        <v>3121</v>
      </c>
    </row>
    <row customHeight="1" ht="11.25">
      <c r="A37" s="0">
        <v>2640</v>
      </c>
      <c r="B37" s="0" t="s">
        <v>114</v>
      </c>
      <c r="C37" s="0">
        <v>26375399</v>
      </c>
      <c r="D37" s="0" t="s">
        <v>3453</v>
      </c>
      <c r="E37" s="0" t="s">
        <v>3454</v>
      </c>
      <c r="F37" s="0" t="s">
        <v>3455</v>
      </c>
      <c r="G37" s="0" t="s">
        <v>3263</v>
      </c>
      <c r="H37" s="0" t="s">
        <v>3456</v>
      </c>
      <c r="I37" s="0" t="s">
        <v>3457</v>
      </c>
      <c r="J37" s="0" t="s">
        <v>3294</v>
      </c>
      <c r="K37" s="0" t="s">
        <v>3458</v>
      </c>
      <c r="L37" s="0" t="s">
        <v>3458</v>
      </c>
      <c r="M37" s="0" t="s">
        <v>3459</v>
      </c>
      <c r="N37" s="0" t="s">
        <v>3460</v>
      </c>
      <c r="O37" s="0" t="s">
        <v>3461</v>
      </c>
      <c r="P37" s="0" t="s">
        <v>179</v>
      </c>
      <c r="Q37" s="0" t="s">
        <v>190</v>
      </c>
      <c r="R37" s="0" t="b">
        <v>1</v>
      </c>
      <c r="S37" s="0" t="s">
        <v>3121</v>
      </c>
    </row>
    <row customHeight="1" ht="11.25">
      <c r="A38" s="0">
        <v>2640</v>
      </c>
      <c r="B38" s="0" t="s">
        <v>114</v>
      </c>
      <c r="C38" s="0">
        <v>31312981</v>
      </c>
      <c r="D38" s="0" t="s">
        <v>3462</v>
      </c>
      <c r="E38" s="0" t="s">
        <v>3463</v>
      </c>
      <c r="F38" s="0" t="s">
        <v>3464</v>
      </c>
      <c r="G38" s="0" t="s">
        <v>3263</v>
      </c>
      <c r="H38" s="0" t="s">
        <v>3465</v>
      </c>
      <c r="I38" s="0" t="s">
        <v>3466</v>
      </c>
      <c r="J38" s="0" t="s">
        <v>3294</v>
      </c>
      <c r="K38" s="0" t="s">
        <v>3467</v>
      </c>
      <c r="L38" s="0" t="s">
        <v>3467</v>
      </c>
      <c r="M38" s="0" t="s">
        <v>3468</v>
      </c>
      <c r="N38" s="0" t="s">
        <v>3469</v>
      </c>
      <c r="O38" s="0" t="s">
        <v>3470</v>
      </c>
      <c r="P38" s="0" t="s">
        <v>179</v>
      </c>
      <c r="Q38" s="0" t="s">
        <v>3471</v>
      </c>
      <c r="R38" s="0" t="b">
        <v>1</v>
      </c>
      <c r="S38" s="0" t="s">
        <v>3121</v>
      </c>
    </row>
    <row customHeight="1" ht="11.25">
      <c r="A39" s="0">
        <v>2640</v>
      </c>
      <c r="B39" s="0" t="s">
        <v>114</v>
      </c>
      <c r="C39" s="0">
        <v>26375386</v>
      </c>
      <c r="D39" s="0" t="s">
        <v>3472</v>
      </c>
      <c r="E39" s="0" t="s">
        <v>3473</v>
      </c>
      <c r="F39" s="0" t="s">
        <v>3474</v>
      </c>
      <c r="G39" s="0" t="s">
        <v>3475</v>
      </c>
      <c r="H39" s="0" t="s">
        <v>3476</v>
      </c>
      <c r="I39" s="0" t="s">
        <v>3477</v>
      </c>
      <c r="J39" s="0" t="s">
        <v>3294</v>
      </c>
      <c r="K39" s="0" t="s">
        <v>3478</v>
      </c>
      <c r="L39" s="0" t="s">
        <v>3478</v>
      </c>
      <c r="M39" s="0" t="s">
        <v>3479</v>
      </c>
      <c r="N39" s="0" t="s">
        <v>3480</v>
      </c>
      <c r="O39" s="0" t="s">
        <v>3481</v>
      </c>
      <c r="P39" s="0" t="s">
        <v>179</v>
      </c>
      <c r="Q39" s="0" t="s">
        <v>190</v>
      </c>
      <c r="R39" s="0" t="b">
        <v>1</v>
      </c>
      <c r="S39" s="0" t="s">
        <v>3121</v>
      </c>
    </row>
    <row customHeight="1" ht="11.25">
      <c r="A40" s="0">
        <v>2640</v>
      </c>
      <c r="B40" s="0" t="s">
        <v>114</v>
      </c>
      <c r="C40" s="0">
        <v>26375421</v>
      </c>
      <c r="D40" s="0" t="s">
        <v>3482</v>
      </c>
      <c r="E40" s="0" t="s">
        <v>3483</v>
      </c>
      <c r="F40" s="0" t="s">
        <v>3484</v>
      </c>
      <c r="G40" s="0" t="s">
        <v>3291</v>
      </c>
      <c r="H40" s="0" t="s">
        <v>3485</v>
      </c>
      <c r="I40" s="0" t="s">
        <v>3486</v>
      </c>
      <c r="J40" s="0" t="s">
        <v>3294</v>
      </c>
      <c r="K40" s="0" t="s">
        <v>3487</v>
      </c>
      <c r="L40" s="0" t="s">
        <v>3487</v>
      </c>
      <c r="M40" s="0" t="s">
        <v>3488</v>
      </c>
      <c r="N40" s="0" t="s">
        <v>3489</v>
      </c>
      <c r="O40" s="0" t="s">
        <v>3490</v>
      </c>
      <c r="P40" s="0" t="s">
        <v>179</v>
      </c>
      <c r="Q40" s="0" t="s">
        <v>190</v>
      </c>
      <c r="R40" s="0" t="b">
        <v>1</v>
      </c>
      <c r="S40" s="0" t="s">
        <v>3121</v>
      </c>
    </row>
    <row customHeight="1" ht="11.25">
      <c r="A41" s="0">
        <v>2640</v>
      </c>
      <c r="B41" s="0" t="s">
        <v>114</v>
      </c>
      <c r="C41" s="0">
        <v>26461710</v>
      </c>
      <c r="D41" s="0" t="s">
        <v>3491</v>
      </c>
      <c r="E41" s="0" t="s">
        <v>3492</v>
      </c>
      <c r="F41" s="0" t="s">
        <v>3493</v>
      </c>
      <c r="G41" s="0" t="s">
        <v>3195</v>
      </c>
      <c r="H41" s="0" t="s">
        <v>3494</v>
      </c>
      <c r="I41" s="0" t="s">
        <v>3495</v>
      </c>
      <c r="J41" s="0" t="s">
        <v>3294</v>
      </c>
      <c r="K41" s="0" t="s">
        <v>3496</v>
      </c>
      <c r="L41" s="0" t="s">
        <v>3496</v>
      </c>
      <c r="M41" s="0" t="s">
        <v>3497</v>
      </c>
      <c r="N41" s="0" t="s">
        <v>3498</v>
      </c>
      <c r="O41" s="0" t="s">
        <v>3499</v>
      </c>
      <c r="P41" s="0" t="s">
        <v>179</v>
      </c>
      <c r="Q41" s="0" t="s">
        <v>190</v>
      </c>
      <c r="R41" s="0" t="b">
        <v>1</v>
      </c>
      <c r="S41" s="0" t="s">
        <v>3121</v>
      </c>
    </row>
    <row customHeight="1" ht="11.25">
      <c r="A42" s="0">
        <v>2640</v>
      </c>
      <c r="B42" s="0" t="s">
        <v>114</v>
      </c>
      <c r="C42" s="0">
        <v>31409408</v>
      </c>
      <c r="D42" s="0" t="s">
        <v>3500</v>
      </c>
      <c r="E42" s="0" t="s">
        <v>3501</v>
      </c>
      <c r="F42" s="0" t="s">
        <v>3502</v>
      </c>
      <c r="G42" s="0" t="s">
        <v>149</v>
      </c>
      <c r="H42" s="0" t="s">
        <v>3503</v>
      </c>
      <c r="I42" s="0" t="s">
        <v>3504</v>
      </c>
      <c r="J42" s="0" t="s">
        <v>3505</v>
      </c>
      <c r="K42" s="0" t="s">
        <v>3506</v>
      </c>
      <c r="L42" s="0" t="s">
        <v>3506</v>
      </c>
      <c r="M42" s="0" t="s">
        <v>3507</v>
      </c>
      <c r="N42" s="0" t="s">
        <v>3508</v>
      </c>
      <c r="O42" s="0" t="s">
        <v>3509</v>
      </c>
      <c r="P42" s="0" t="s">
        <v>3510</v>
      </c>
      <c r="R42" s="0" t="b">
        <v>1</v>
      </c>
      <c r="S42" s="0" t="s">
        <v>3121</v>
      </c>
    </row>
    <row customHeight="1" ht="11.25">
      <c r="A43" s="0">
        <v>2640</v>
      </c>
      <c r="B43" s="0" t="s">
        <v>114</v>
      </c>
      <c r="C43" s="0">
        <v>26375415</v>
      </c>
      <c r="D43" s="0" t="s">
        <v>3511</v>
      </c>
      <c r="E43" s="0" t="s">
        <v>3512</v>
      </c>
      <c r="F43" s="0" t="s">
        <v>3513</v>
      </c>
      <c r="G43" s="0" t="s">
        <v>3112</v>
      </c>
      <c r="H43" s="0" t="s">
        <v>3514</v>
      </c>
      <c r="I43" s="0" t="s">
        <v>3515</v>
      </c>
      <c r="J43" s="0" t="s">
        <v>3294</v>
      </c>
      <c r="K43" s="0" t="s">
        <v>3516</v>
      </c>
      <c r="L43" s="0" t="s">
        <v>3516</v>
      </c>
      <c r="M43" s="0" t="s">
        <v>3517</v>
      </c>
      <c r="N43" s="0" t="s">
        <v>3518</v>
      </c>
      <c r="O43" s="0" t="s">
        <v>3519</v>
      </c>
      <c r="P43" s="0" t="s">
        <v>179</v>
      </c>
      <c r="Q43" s="0" t="s">
        <v>190</v>
      </c>
      <c r="R43" s="0" t="b">
        <v>1</v>
      </c>
      <c r="S43" s="0" t="s">
        <v>3121</v>
      </c>
    </row>
    <row customHeight="1" ht="11.25">
      <c r="A44" s="0">
        <v>2640</v>
      </c>
      <c r="B44" s="0" t="s">
        <v>114</v>
      </c>
      <c r="C44" s="0">
        <v>31516690</v>
      </c>
      <c r="D44" s="0" t="s">
        <v>3520</v>
      </c>
      <c r="E44" s="0" t="s">
        <v>3521</v>
      </c>
      <c r="F44" s="0" t="s">
        <v>3522</v>
      </c>
      <c r="G44" s="0" t="s">
        <v>3112</v>
      </c>
      <c r="H44" s="0" t="s">
        <v>3523</v>
      </c>
      <c r="J44" s="0" t="s">
        <v>3505</v>
      </c>
      <c r="K44" s="0" t="s">
        <v>3524</v>
      </c>
      <c r="L44" s="0" t="s">
        <v>3524</v>
      </c>
      <c r="O44" s="0" t="s">
        <v>3525</v>
      </c>
      <c r="P44" s="0" t="s">
        <v>179</v>
      </c>
      <c r="R44" s="0" t="b">
        <v>0</v>
      </c>
      <c r="S44" s="0" t="s">
        <v>3121</v>
      </c>
    </row>
    <row customHeight="1" ht="11.25">
      <c r="A45" s="0">
        <v>2640</v>
      </c>
      <c r="B45" s="0" t="s">
        <v>114</v>
      </c>
      <c r="C45" s="0">
        <v>31509317</v>
      </c>
      <c r="D45" s="0" t="s">
        <v>3526</v>
      </c>
      <c r="E45" s="0" t="s">
        <v>3527</v>
      </c>
      <c r="F45" s="0" t="s">
        <v>3528</v>
      </c>
      <c r="G45" s="0" t="s">
        <v>3529</v>
      </c>
      <c r="H45" s="0" t="s">
        <v>3530</v>
      </c>
      <c r="J45" s="0" t="s">
        <v>156</v>
      </c>
      <c r="K45" s="0" t="s">
        <v>3531</v>
      </c>
      <c r="L45" s="0" t="s">
        <v>3531</v>
      </c>
      <c r="M45" s="0" t="s">
        <v>3532</v>
      </c>
      <c r="O45" s="0" t="s">
        <v>3533</v>
      </c>
      <c r="P45" s="0" t="s">
        <v>179</v>
      </c>
      <c r="Q45" s="0" t="s">
        <v>3534</v>
      </c>
      <c r="R45" s="0" t="b">
        <v>0</v>
      </c>
      <c r="S45" s="0" t="s">
        <v>3121</v>
      </c>
    </row>
    <row customHeight="1" ht="11.25">
      <c r="A46" s="0">
        <v>2640</v>
      </c>
      <c r="B46" s="0" t="s">
        <v>114</v>
      </c>
      <c r="C46" s="0">
        <v>30432718</v>
      </c>
      <c r="D46" s="0" t="s">
        <v>3535</v>
      </c>
      <c r="E46" s="0" t="s">
        <v>3536</v>
      </c>
      <c r="F46" s="0" t="s">
        <v>3537</v>
      </c>
      <c r="G46" s="0" t="s">
        <v>3538</v>
      </c>
      <c r="H46" s="0" t="s">
        <v>3539</v>
      </c>
      <c r="I46" s="0" t="s">
        <v>3540</v>
      </c>
      <c r="J46" s="0" t="s">
        <v>3541</v>
      </c>
      <c r="K46" s="0" t="s">
        <v>3542</v>
      </c>
      <c r="L46" s="0" t="s">
        <v>3542</v>
      </c>
      <c r="M46" s="0" t="s">
        <v>3543</v>
      </c>
      <c r="N46" s="0" t="s">
        <v>3544</v>
      </c>
      <c r="O46" s="0" t="s">
        <v>3545</v>
      </c>
      <c r="P46" s="0" t="s">
        <v>179</v>
      </c>
      <c r="R46" s="0" t="b">
        <v>0</v>
      </c>
      <c r="S46" s="0" t="s">
        <v>3121</v>
      </c>
    </row>
    <row customHeight="1" ht="11.25">
      <c r="A47" s="0">
        <v>2640</v>
      </c>
      <c r="B47" s="0" t="s">
        <v>114</v>
      </c>
      <c r="C47" s="0">
        <v>31434145</v>
      </c>
      <c r="D47" s="0" t="s">
        <v>3546</v>
      </c>
      <c r="E47" s="0" t="s">
        <v>3547</v>
      </c>
      <c r="F47" s="0" t="s">
        <v>3548</v>
      </c>
      <c r="G47" s="0" t="s">
        <v>3112</v>
      </c>
      <c r="H47" s="0" t="s">
        <v>3549</v>
      </c>
      <c r="I47" s="0" t="s">
        <v>3550</v>
      </c>
      <c r="J47" s="0" t="s">
        <v>3541</v>
      </c>
      <c r="K47" s="0" t="s">
        <v>3551</v>
      </c>
      <c r="L47" s="0" t="s">
        <v>3551</v>
      </c>
      <c r="M47" s="0" t="s">
        <v>3552</v>
      </c>
      <c r="O47" s="0" t="s">
        <v>3553</v>
      </c>
      <c r="P47" s="0" t="s">
        <v>3335</v>
      </c>
      <c r="Q47" s="0" t="s">
        <v>3554</v>
      </c>
      <c r="R47" s="0" t="b">
        <v>0</v>
      </c>
      <c r="S47" s="0" t="s">
        <v>3121</v>
      </c>
    </row>
    <row customHeight="1" ht="11.25">
      <c r="A48" s="0">
        <v>2640</v>
      </c>
      <c r="B48" s="0" t="s">
        <v>114</v>
      </c>
      <c r="C48" s="0">
        <v>26468195</v>
      </c>
      <c r="D48" s="0" t="s">
        <v>3555</v>
      </c>
      <c r="E48" s="0" t="s">
        <v>3556</v>
      </c>
      <c r="F48" s="0" t="s">
        <v>3557</v>
      </c>
      <c r="G48" s="0" t="s">
        <v>3558</v>
      </c>
      <c r="H48" s="0" t="s">
        <v>3559</v>
      </c>
      <c r="I48" s="0" t="s">
        <v>3560</v>
      </c>
      <c r="J48" s="0" t="s">
        <v>3561</v>
      </c>
      <c r="K48" s="0" t="s">
        <v>3562</v>
      </c>
      <c r="L48" s="0" t="s">
        <v>3562</v>
      </c>
      <c r="M48" s="0" t="s">
        <v>3563</v>
      </c>
      <c r="N48" s="0" t="s">
        <v>3564</v>
      </c>
      <c r="O48" s="0" t="s">
        <v>3565</v>
      </c>
      <c r="P48" s="0" t="s">
        <v>179</v>
      </c>
      <c r="Q48" s="0" t="s">
        <v>190</v>
      </c>
      <c r="R48" s="0" t="b">
        <v>0</v>
      </c>
      <c r="S48" s="0" t="s">
        <v>3121</v>
      </c>
    </row>
    <row customHeight="1" ht="11.25">
      <c r="A49" s="0">
        <v>2640</v>
      </c>
      <c r="B49" s="0" t="s">
        <v>114</v>
      </c>
      <c r="C49" s="0">
        <v>26375381</v>
      </c>
      <c r="D49" s="0" t="s">
        <v>3566</v>
      </c>
      <c r="E49" s="0" t="s">
        <v>3567</v>
      </c>
      <c r="F49" s="0" t="s">
        <v>3568</v>
      </c>
      <c r="G49" s="0" t="s">
        <v>3195</v>
      </c>
      <c r="H49" s="0" t="s">
        <v>3569</v>
      </c>
      <c r="I49" s="0" t="s">
        <v>3570</v>
      </c>
      <c r="J49" s="0" t="s">
        <v>156</v>
      </c>
      <c r="K49" s="0" t="s">
        <v>3571</v>
      </c>
      <c r="L49" s="0" t="s">
        <v>3571</v>
      </c>
      <c r="M49" s="0" t="s">
        <v>3572</v>
      </c>
      <c r="N49" s="0" t="s">
        <v>3573</v>
      </c>
      <c r="O49" s="0" t="s">
        <v>3574</v>
      </c>
      <c r="P49" s="0" t="s">
        <v>3225</v>
      </c>
      <c r="Q49" s="0" t="s">
        <v>3575</v>
      </c>
      <c r="R49" s="0" t="b">
        <v>1</v>
      </c>
      <c r="S49" s="0" t="s">
        <v>3121</v>
      </c>
    </row>
    <row customHeight="1" ht="11.25">
      <c r="A50" s="0">
        <v>2640</v>
      </c>
      <c r="B50" s="0" t="s">
        <v>114</v>
      </c>
      <c r="C50" s="0">
        <v>27506381</v>
      </c>
      <c r="D50" s="0" t="s">
        <v>3576</v>
      </c>
      <c r="E50" s="0" t="s">
        <v>3577</v>
      </c>
      <c r="F50" s="0" t="s">
        <v>3578</v>
      </c>
      <c r="G50" s="0" t="s">
        <v>3579</v>
      </c>
      <c r="H50" s="0" t="s">
        <v>3580</v>
      </c>
      <c r="I50" s="0" t="s">
        <v>3581</v>
      </c>
      <c r="J50" s="0" t="s">
        <v>156</v>
      </c>
      <c r="L50" s="0" t="s">
        <v>3582</v>
      </c>
      <c r="M50" s="0" t="s">
        <v>3583</v>
      </c>
      <c r="N50" s="0" t="s">
        <v>3584</v>
      </c>
      <c r="O50" s="0" t="s">
        <v>3585</v>
      </c>
      <c r="R50" s="0" t="b">
        <v>1</v>
      </c>
      <c r="S50" s="0" t="s">
        <v>3121</v>
      </c>
    </row>
    <row customHeight="1" ht="11.25">
      <c r="A51" s="0">
        <v>2640</v>
      </c>
      <c r="B51" s="0" t="s">
        <v>114</v>
      </c>
      <c r="C51" s="0">
        <v>28462001</v>
      </c>
      <c r="D51" s="0" t="s">
        <v>3586</v>
      </c>
      <c r="E51" s="0" t="s">
        <v>3587</v>
      </c>
      <c r="F51" s="0" t="s">
        <v>3588</v>
      </c>
      <c r="G51" s="0" t="s">
        <v>3160</v>
      </c>
      <c r="H51" s="0" t="s">
        <v>3589</v>
      </c>
      <c r="I51" s="0" t="s">
        <v>3590</v>
      </c>
      <c r="J51" s="0" t="s">
        <v>156</v>
      </c>
      <c r="L51" s="0" t="s">
        <v>3591</v>
      </c>
      <c r="M51" s="0" t="s">
        <v>3592</v>
      </c>
      <c r="N51" s="0" t="s">
        <v>3593</v>
      </c>
      <c r="O51" s="0" t="s">
        <v>3594</v>
      </c>
      <c r="P51" s="0" t="s">
        <v>179</v>
      </c>
      <c r="Q51" s="0" t="s">
        <v>190</v>
      </c>
      <c r="R51" s="0" t="b">
        <v>1</v>
      </c>
      <c r="S51" s="0" t="s">
        <v>3121</v>
      </c>
    </row>
    <row customHeight="1" ht="11.25">
      <c r="A52" s="0">
        <v>2640</v>
      </c>
      <c r="B52" s="0" t="s">
        <v>114</v>
      </c>
      <c r="C52" s="0">
        <v>31594903</v>
      </c>
      <c r="D52" s="0" t="s">
        <v>3595</v>
      </c>
      <c r="E52" s="0" t="s">
        <v>3596</v>
      </c>
      <c r="F52" s="0" t="s">
        <v>3597</v>
      </c>
      <c r="G52" s="0" t="s">
        <v>3263</v>
      </c>
      <c r="H52" s="0" t="s">
        <v>3598</v>
      </c>
      <c r="I52" s="0" t="s">
        <v>3599</v>
      </c>
      <c r="K52" s="0" t="s">
        <v>3600</v>
      </c>
      <c r="L52" s="0" t="s">
        <v>3600</v>
      </c>
      <c r="M52" s="0" t="s">
        <v>3601</v>
      </c>
      <c r="N52" s="0" t="s">
        <v>3602</v>
      </c>
      <c r="O52" s="0" t="s">
        <v>3603</v>
      </c>
      <c r="P52" s="0" t="s">
        <v>3604</v>
      </c>
      <c r="R52" s="0" t="b">
        <v>1</v>
      </c>
      <c r="S52" s="0" t="s">
        <v>3121</v>
      </c>
    </row>
    <row customHeight="1" ht="11.25">
      <c r="A53" s="0">
        <v>2640</v>
      </c>
      <c r="B53" s="0" t="s">
        <v>114</v>
      </c>
      <c r="C53" s="0">
        <v>26505139</v>
      </c>
      <c r="D53" s="0" t="s">
        <v>3605</v>
      </c>
      <c r="E53" s="0" t="s">
        <v>3606</v>
      </c>
      <c r="F53" s="0" t="s">
        <v>3607</v>
      </c>
      <c r="G53" s="0" t="s">
        <v>3273</v>
      </c>
      <c r="H53" s="0" t="s">
        <v>3608</v>
      </c>
      <c r="I53" s="0" t="s">
        <v>3609</v>
      </c>
      <c r="J53" s="0" t="s">
        <v>156</v>
      </c>
      <c r="K53" s="0" t="s">
        <v>3610</v>
      </c>
      <c r="L53" s="0" t="s">
        <v>3610</v>
      </c>
      <c r="M53" s="0" t="s">
        <v>3611</v>
      </c>
      <c r="N53" s="0" t="s">
        <v>3612</v>
      </c>
      <c r="O53" s="0" t="s">
        <v>3613</v>
      </c>
      <c r="P53" s="0" t="s">
        <v>179</v>
      </c>
      <c r="Q53" s="0" t="s">
        <v>3614</v>
      </c>
      <c r="R53" s="0" t="b">
        <v>1</v>
      </c>
      <c r="S53" s="0" t="s">
        <v>3121</v>
      </c>
    </row>
    <row customHeight="1" ht="11.25">
      <c r="A54" s="0">
        <v>2640</v>
      </c>
      <c r="B54" s="0" t="s">
        <v>114</v>
      </c>
      <c r="C54" s="0">
        <v>31750641</v>
      </c>
      <c r="D54" s="0" t="s">
        <v>3615</v>
      </c>
      <c r="E54" s="0" t="s">
        <v>3616</v>
      </c>
      <c r="F54" s="0" t="s">
        <v>3617</v>
      </c>
      <c r="G54" s="0" t="s">
        <v>3321</v>
      </c>
      <c r="H54" s="0" t="s">
        <v>3618</v>
      </c>
      <c r="I54" s="0" t="s">
        <v>3619</v>
      </c>
      <c r="K54" s="0" t="s">
        <v>242</v>
      </c>
      <c r="L54" s="0" t="s">
        <v>3620</v>
      </c>
      <c r="M54" s="0" t="s">
        <v>3621</v>
      </c>
      <c r="N54" s="0" t="s">
        <v>3622</v>
      </c>
      <c r="O54" s="0" t="s">
        <v>3623</v>
      </c>
      <c r="P54" s="0" t="s">
        <v>3624</v>
      </c>
      <c r="Q54" s="0" t="s">
        <v>242</v>
      </c>
      <c r="R54" s="0" t="b">
        <v>0</v>
      </c>
      <c r="S54" s="0" t="s">
        <v>3121</v>
      </c>
    </row>
    <row customHeight="1" ht="11.25">
      <c r="A55" s="0">
        <v>2640</v>
      </c>
      <c r="B55" s="0" t="s">
        <v>114</v>
      </c>
      <c r="C55" s="0">
        <v>27681895</v>
      </c>
      <c r="D55" s="0" t="s">
        <v>3625</v>
      </c>
      <c r="E55" s="0" t="s">
        <v>3626</v>
      </c>
      <c r="F55" s="0" t="s">
        <v>3627</v>
      </c>
      <c r="G55" s="0" t="s">
        <v>3529</v>
      </c>
      <c r="H55" s="0" t="s">
        <v>3628</v>
      </c>
      <c r="I55" s="0" t="s">
        <v>3629</v>
      </c>
      <c r="J55" s="0" t="s">
        <v>156</v>
      </c>
      <c r="K55" s="0" t="s">
        <v>3630</v>
      </c>
      <c r="L55" s="0" t="s">
        <v>3631</v>
      </c>
      <c r="M55" s="0" t="s">
        <v>3632</v>
      </c>
      <c r="N55" s="0" t="s">
        <v>3633</v>
      </c>
      <c r="O55" s="0" t="s">
        <v>3634</v>
      </c>
      <c r="P55" s="0" t="s">
        <v>179</v>
      </c>
      <c r="Q55" s="0" t="s">
        <v>190</v>
      </c>
      <c r="R55" s="0" t="b">
        <v>0</v>
      </c>
      <c r="S55" s="0" t="s">
        <v>3121</v>
      </c>
    </row>
    <row customHeight="1" ht="11.25">
      <c r="A56" s="0">
        <v>2640</v>
      </c>
      <c r="B56" s="0" t="s">
        <v>114</v>
      </c>
      <c r="C56" s="0">
        <v>28136693</v>
      </c>
      <c r="D56" s="0" t="s">
        <v>133</v>
      </c>
      <c r="E56" s="0" t="s">
        <v>136</v>
      </c>
      <c r="F56" s="0" t="s">
        <v>146</v>
      </c>
      <c r="G56" s="0" t="s">
        <v>149</v>
      </c>
      <c r="H56" s="0" t="s">
        <v>143</v>
      </c>
      <c r="I56" s="0" t="s">
        <v>152</v>
      </c>
      <c r="J56" s="0" t="s">
        <v>156</v>
      </c>
      <c r="K56" s="0" t="s">
        <v>160</v>
      </c>
      <c r="L56" s="0" t="s">
        <v>160</v>
      </c>
      <c r="M56" s="0" t="s">
        <v>167</v>
      </c>
      <c r="N56" s="0" t="s">
        <v>171</v>
      </c>
      <c r="O56" s="0" t="s">
        <v>175</v>
      </c>
      <c r="P56" s="0" t="s">
        <v>179</v>
      </c>
      <c r="Q56" s="0" t="s">
        <v>183</v>
      </c>
      <c r="R56" s="0" t="b">
        <v>0</v>
      </c>
      <c r="S56" s="0" t="s">
        <v>3121</v>
      </c>
    </row>
    <row customHeight="1" ht="11.25">
      <c r="A57" s="0">
        <v>2640</v>
      </c>
      <c r="B57" s="0" t="s">
        <v>114</v>
      </c>
      <c r="C57" s="0">
        <v>26539803</v>
      </c>
      <c r="D57" s="0" t="s">
        <v>3635</v>
      </c>
      <c r="E57" s="0" t="s">
        <v>3636</v>
      </c>
      <c r="F57" s="0" t="s">
        <v>3637</v>
      </c>
      <c r="G57" s="0" t="s">
        <v>3195</v>
      </c>
      <c r="H57" s="0" t="s">
        <v>3638</v>
      </c>
      <c r="I57" s="0" t="s">
        <v>3639</v>
      </c>
      <c r="J57" s="0" t="s">
        <v>156</v>
      </c>
      <c r="K57" s="0" t="s">
        <v>3640</v>
      </c>
      <c r="L57" s="0" t="s">
        <v>3640</v>
      </c>
      <c r="M57" s="0" t="s">
        <v>3641</v>
      </c>
      <c r="N57" s="0" t="s">
        <v>3642</v>
      </c>
      <c r="O57" s="0" t="s">
        <v>3643</v>
      </c>
      <c r="P57" s="0" t="s">
        <v>3644</v>
      </c>
      <c r="Q57" s="0" t="s">
        <v>3645</v>
      </c>
      <c r="R57" s="0" t="b">
        <v>1</v>
      </c>
      <c r="S57" s="0" t="s">
        <v>3121</v>
      </c>
    </row>
    <row customHeight="1" ht="11.25">
      <c r="A58" s="0">
        <v>2640</v>
      </c>
      <c r="B58" s="0" t="s">
        <v>114</v>
      </c>
      <c r="C58" s="0">
        <v>31370460</v>
      </c>
      <c r="D58" s="0" t="s">
        <v>3646</v>
      </c>
      <c r="E58" s="0" t="s">
        <v>3647</v>
      </c>
      <c r="F58" s="0" t="s">
        <v>3648</v>
      </c>
      <c r="G58" s="0" t="s">
        <v>149</v>
      </c>
      <c r="H58" s="0" t="s">
        <v>3649</v>
      </c>
      <c r="I58" s="0" t="s">
        <v>3650</v>
      </c>
      <c r="J58" s="0" t="s">
        <v>156</v>
      </c>
      <c r="K58" s="0" t="s">
        <v>3651</v>
      </c>
      <c r="L58" s="0" t="s">
        <v>3651</v>
      </c>
      <c r="M58" s="0" t="s">
        <v>3652</v>
      </c>
      <c r="N58" s="0" t="s">
        <v>3653</v>
      </c>
      <c r="O58" s="0" t="s">
        <v>3654</v>
      </c>
      <c r="P58" s="0" t="s">
        <v>3119</v>
      </c>
      <c r="R58" s="0" t="b">
        <v>1</v>
      </c>
      <c r="S58" s="0" t="s">
        <v>3121</v>
      </c>
    </row>
    <row customHeight="1" ht="11.25">
      <c r="A59" s="0">
        <v>2640</v>
      </c>
      <c r="B59" s="0" t="s">
        <v>114</v>
      </c>
      <c r="C59" s="0">
        <v>26560202</v>
      </c>
      <c r="D59" s="0" t="s">
        <v>3655</v>
      </c>
      <c r="E59" s="0" t="s">
        <v>3656</v>
      </c>
      <c r="F59" s="0" t="s">
        <v>3657</v>
      </c>
      <c r="G59" s="0" t="s">
        <v>3184</v>
      </c>
      <c r="H59" s="0" t="s">
        <v>3658</v>
      </c>
      <c r="I59" s="0" t="s">
        <v>3659</v>
      </c>
      <c r="J59" s="0" t="s">
        <v>156</v>
      </c>
      <c r="K59" s="0" t="s">
        <v>3660</v>
      </c>
      <c r="L59" s="0" t="s">
        <v>3660</v>
      </c>
      <c r="M59" s="0" t="s">
        <v>3661</v>
      </c>
      <c r="N59" s="0" t="s">
        <v>3662</v>
      </c>
      <c r="O59" s="0" t="s">
        <v>3663</v>
      </c>
      <c r="P59" s="0" t="s">
        <v>3191</v>
      </c>
      <c r="Q59" s="0" t="s">
        <v>3664</v>
      </c>
      <c r="R59" s="0" t="b">
        <v>0</v>
      </c>
      <c r="S59" s="0" t="s">
        <v>3121</v>
      </c>
    </row>
    <row customHeight="1" ht="11.25">
      <c r="A60" s="0">
        <v>2640</v>
      </c>
      <c r="B60" s="0" t="s">
        <v>114</v>
      </c>
      <c r="C60" s="0">
        <v>30438432</v>
      </c>
      <c r="D60" s="0" t="s">
        <v>3665</v>
      </c>
      <c r="E60" s="0" t="s">
        <v>3666</v>
      </c>
      <c r="F60" s="0" t="s">
        <v>3667</v>
      </c>
      <c r="G60" s="0" t="s">
        <v>3273</v>
      </c>
      <c r="H60" s="0" t="s">
        <v>3668</v>
      </c>
      <c r="I60" s="0" t="s">
        <v>3669</v>
      </c>
      <c r="J60" s="0" t="s">
        <v>156</v>
      </c>
      <c r="K60" s="0" t="s">
        <v>3670</v>
      </c>
      <c r="L60" s="0" t="s">
        <v>3670</v>
      </c>
      <c r="M60" s="0" t="s">
        <v>3671</v>
      </c>
      <c r="N60" s="0" t="s">
        <v>3672</v>
      </c>
      <c r="O60" s="0" t="s">
        <v>3673</v>
      </c>
      <c r="P60" s="0" t="s">
        <v>179</v>
      </c>
      <c r="Q60" s="0" t="s">
        <v>3674</v>
      </c>
      <c r="R60" s="0" t="b">
        <v>0</v>
      </c>
      <c r="S60" s="0" t="s">
        <v>3121</v>
      </c>
    </row>
    <row customHeight="1" ht="11.25">
      <c r="A61" s="0">
        <v>2640</v>
      </c>
      <c r="B61" s="0" t="s">
        <v>114</v>
      </c>
      <c r="C61" s="0">
        <v>31361834</v>
      </c>
      <c r="D61" s="0" t="s">
        <v>3675</v>
      </c>
      <c r="E61" s="0" t="s">
        <v>3676</v>
      </c>
      <c r="F61" s="0" t="s">
        <v>3677</v>
      </c>
      <c r="G61" s="0" t="s">
        <v>3184</v>
      </c>
      <c r="H61" s="0" t="s">
        <v>3678</v>
      </c>
      <c r="I61" s="0" t="s">
        <v>3679</v>
      </c>
      <c r="J61" s="0" t="s">
        <v>156</v>
      </c>
      <c r="K61" s="0" t="s">
        <v>3680</v>
      </c>
      <c r="L61" s="0" t="s">
        <v>3680</v>
      </c>
      <c r="M61" s="0" t="s">
        <v>3681</v>
      </c>
      <c r="O61" s="0" t="s">
        <v>179</v>
      </c>
      <c r="P61" s="0" t="s">
        <v>3682</v>
      </c>
      <c r="R61" s="0" t="b">
        <v>1</v>
      </c>
      <c r="S61" s="0" t="s">
        <v>3121</v>
      </c>
    </row>
    <row customHeight="1" ht="11.25">
      <c r="A62" s="0">
        <v>2640</v>
      </c>
      <c r="B62" s="0" t="s">
        <v>114</v>
      </c>
      <c r="C62" s="0">
        <v>31768876</v>
      </c>
      <c r="D62" s="0" t="s">
        <v>3683</v>
      </c>
      <c r="E62" s="0" t="s">
        <v>3684</v>
      </c>
      <c r="F62" s="0" t="s">
        <v>3685</v>
      </c>
      <c r="G62" s="0" t="s">
        <v>3321</v>
      </c>
      <c r="H62" s="0" t="s">
        <v>3686</v>
      </c>
      <c r="I62" s="0" t="s">
        <v>3687</v>
      </c>
      <c r="K62" s="0" t="s">
        <v>3688</v>
      </c>
      <c r="L62" s="0" t="s">
        <v>3688</v>
      </c>
      <c r="M62" s="0" t="s">
        <v>3689</v>
      </c>
      <c r="N62" s="0" t="s">
        <v>3690</v>
      </c>
      <c r="O62" s="0" t="s">
        <v>3691</v>
      </c>
      <c r="P62" s="0" t="s">
        <v>3119</v>
      </c>
      <c r="Q62" s="0" t="s">
        <v>242</v>
      </c>
      <c r="R62" s="0" t="b">
        <v>0</v>
      </c>
      <c r="S62" s="0" t="s">
        <v>3121</v>
      </c>
    </row>
    <row customHeight="1" ht="11.25">
      <c r="A63" s="0">
        <v>2640</v>
      </c>
      <c r="B63" s="0" t="s">
        <v>114</v>
      </c>
      <c r="C63" s="0">
        <v>31476622</v>
      </c>
      <c r="D63" s="0" t="s">
        <v>3692</v>
      </c>
      <c r="E63" s="0" t="s">
        <v>3693</v>
      </c>
      <c r="F63" s="0" t="s">
        <v>3694</v>
      </c>
      <c r="G63" s="0" t="s">
        <v>3172</v>
      </c>
      <c r="H63" s="0" t="s">
        <v>3695</v>
      </c>
      <c r="J63" s="0" t="s">
        <v>156</v>
      </c>
      <c r="K63" s="0" t="s">
        <v>3696</v>
      </c>
      <c r="L63" s="0" t="s">
        <v>3696</v>
      </c>
      <c r="M63" s="0" t="s">
        <v>3697</v>
      </c>
      <c r="N63" s="0" t="s">
        <v>3698</v>
      </c>
      <c r="O63" s="0" t="s">
        <v>3699</v>
      </c>
      <c r="P63" s="0" t="s">
        <v>3119</v>
      </c>
      <c r="R63" s="0" t="b">
        <v>0</v>
      </c>
      <c r="S63" s="0" t="s">
        <v>3121</v>
      </c>
    </row>
    <row customHeight="1" ht="11.25">
      <c r="A64" s="0">
        <v>2640</v>
      </c>
      <c r="B64" s="0" t="s">
        <v>114</v>
      </c>
      <c r="C64" s="0">
        <v>26647134</v>
      </c>
      <c r="D64" s="0" t="s">
        <v>3700</v>
      </c>
      <c r="E64" s="0" t="s">
        <v>3701</v>
      </c>
      <c r="F64" s="0" t="s">
        <v>3702</v>
      </c>
      <c r="G64" s="0" t="s">
        <v>3184</v>
      </c>
      <c r="H64" s="0" t="s">
        <v>3703</v>
      </c>
      <c r="I64" s="0" t="s">
        <v>3704</v>
      </c>
      <c r="J64" s="0" t="s">
        <v>156</v>
      </c>
      <c r="K64" s="0" t="s">
        <v>3705</v>
      </c>
      <c r="L64" s="0" t="s">
        <v>3705</v>
      </c>
      <c r="M64" s="0" t="s">
        <v>3706</v>
      </c>
      <c r="N64" s="0" t="s">
        <v>3707</v>
      </c>
      <c r="O64" s="0" t="s">
        <v>3708</v>
      </c>
      <c r="P64" s="0" t="s">
        <v>179</v>
      </c>
      <c r="Q64" s="0" t="s">
        <v>190</v>
      </c>
      <c r="R64" s="0" t="b">
        <v>1</v>
      </c>
      <c r="S64" s="0" t="s">
        <v>3121</v>
      </c>
    </row>
    <row customHeight="1" ht="11.25">
      <c r="A65" s="0">
        <v>2640</v>
      </c>
      <c r="B65" s="0" t="s">
        <v>114</v>
      </c>
      <c r="C65" s="0">
        <v>30432724</v>
      </c>
      <c r="D65" s="0" t="s">
        <v>3709</v>
      </c>
      <c r="E65" s="0" t="s">
        <v>3710</v>
      </c>
      <c r="F65" s="0" t="s">
        <v>3711</v>
      </c>
      <c r="G65" s="0" t="s">
        <v>3172</v>
      </c>
      <c r="H65" s="0" t="s">
        <v>3712</v>
      </c>
      <c r="I65" s="0" t="s">
        <v>3713</v>
      </c>
      <c r="J65" s="0" t="s">
        <v>156</v>
      </c>
      <c r="K65" s="0" t="s">
        <v>3714</v>
      </c>
      <c r="L65" s="0" t="s">
        <v>3714</v>
      </c>
      <c r="M65" s="0" t="s">
        <v>3715</v>
      </c>
      <c r="N65" s="0" t="s">
        <v>3716</v>
      </c>
      <c r="O65" s="0" t="s">
        <v>3717</v>
      </c>
      <c r="P65" s="0" t="s">
        <v>3119</v>
      </c>
      <c r="Q65" s="0" t="s">
        <v>3718</v>
      </c>
      <c r="R65" s="0" t="b">
        <v>0</v>
      </c>
      <c r="S65" s="0" t="s">
        <v>3121</v>
      </c>
    </row>
    <row customHeight="1" ht="11.25">
      <c r="A66" s="0">
        <v>2640</v>
      </c>
      <c r="B66" s="0" t="s">
        <v>114</v>
      </c>
      <c r="C66" s="0">
        <v>27627166</v>
      </c>
      <c r="D66" s="0" t="s">
        <v>3719</v>
      </c>
      <c r="E66" s="0" t="s">
        <v>3720</v>
      </c>
      <c r="F66" s="0" t="s">
        <v>3721</v>
      </c>
      <c r="G66" s="0" t="s">
        <v>3722</v>
      </c>
      <c r="H66" s="0" t="s">
        <v>3723</v>
      </c>
      <c r="I66" s="0" t="s">
        <v>3724</v>
      </c>
      <c r="J66" s="0" t="s">
        <v>156</v>
      </c>
      <c r="K66" s="0" t="s">
        <v>3725</v>
      </c>
      <c r="L66" s="0" t="s">
        <v>3726</v>
      </c>
      <c r="M66" s="0" t="s">
        <v>3727</v>
      </c>
      <c r="N66" s="0" t="s">
        <v>3728</v>
      </c>
      <c r="O66" s="0" t="s">
        <v>3729</v>
      </c>
      <c r="P66" s="0" t="s">
        <v>3119</v>
      </c>
      <c r="Q66" s="0" t="s">
        <v>3730</v>
      </c>
      <c r="R66" s="0" t="b">
        <v>0</v>
      </c>
      <c r="S66" s="0" t="s">
        <v>3121</v>
      </c>
    </row>
    <row customHeight="1" ht="11.25">
      <c r="A67" s="0">
        <v>2640</v>
      </c>
      <c r="B67" s="0" t="s">
        <v>114</v>
      </c>
      <c r="C67" s="0">
        <v>26539760</v>
      </c>
      <c r="D67" s="0" t="s">
        <v>3731</v>
      </c>
      <c r="E67" s="0" t="s">
        <v>3732</v>
      </c>
      <c r="F67" s="0" t="s">
        <v>3733</v>
      </c>
      <c r="G67" s="0" t="s">
        <v>3734</v>
      </c>
      <c r="H67" s="0" t="s">
        <v>3735</v>
      </c>
      <c r="I67" s="0" t="s">
        <v>3736</v>
      </c>
      <c r="J67" s="0" t="s">
        <v>3737</v>
      </c>
      <c r="K67" s="0" t="s">
        <v>3738</v>
      </c>
      <c r="L67" s="0" t="s">
        <v>3738</v>
      </c>
      <c r="M67" s="0" t="s">
        <v>3739</v>
      </c>
      <c r="N67" s="0" t="s">
        <v>3740</v>
      </c>
      <c r="O67" s="0" t="s">
        <v>3741</v>
      </c>
      <c r="P67" s="0" t="s">
        <v>3742</v>
      </c>
      <c r="Q67" s="0" t="s">
        <v>190</v>
      </c>
      <c r="R67" s="0" t="b">
        <v>1</v>
      </c>
      <c r="S67" s="0" t="s">
        <v>3121</v>
      </c>
    </row>
    <row customHeight="1" ht="11.25">
      <c r="A68" s="0">
        <v>2640</v>
      </c>
      <c r="B68" s="0" t="s">
        <v>114</v>
      </c>
      <c r="C68" s="0">
        <v>28264840</v>
      </c>
      <c r="D68" s="0" t="s">
        <v>3743</v>
      </c>
      <c r="E68" s="0" t="s">
        <v>3744</v>
      </c>
      <c r="F68" s="0" t="s">
        <v>3745</v>
      </c>
      <c r="G68" s="0" t="s">
        <v>3381</v>
      </c>
      <c r="H68" s="0" t="s">
        <v>3746</v>
      </c>
      <c r="I68" s="0" t="s">
        <v>3747</v>
      </c>
      <c r="J68" s="0" t="s">
        <v>3748</v>
      </c>
      <c r="K68" s="0" t="s">
        <v>3749</v>
      </c>
      <c r="L68" s="0" t="s">
        <v>3749</v>
      </c>
      <c r="M68" s="0" t="s">
        <v>3750</v>
      </c>
      <c r="N68" s="0" t="s">
        <v>3751</v>
      </c>
      <c r="O68" s="0" t="s">
        <v>3752</v>
      </c>
      <c r="P68" s="0" t="s">
        <v>3335</v>
      </c>
      <c r="Q68" s="0" t="s">
        <v>190</v>
      </c>
      <c r="R68" s="0" t="b">
        <v>1</v>
      </c>
      <c r="S68" s="0" t="s">
        <v>3121</v>
      </c>
    </row>
    <row customHeight="1" ht="11.25">
      <c r="A69" s="0">
        <v>2640</v>
      </c>
      <c r="B69" s="0" t="s">
        <v>114</v>
      </c>
      <c r="C69" s="0">
        <v>26407514</v>
      </c>
      <c r="D69" s="0" t="s">
        <v>3753</v>
      </c>
      <c r="E69" s="0" t="s">
        <v>3754</v>
      </c>
      <c r="F69" s="0" t="s">
        <v>3755</v>
      </c>
      <c r="G69" s="0" t="s">
        <v>3160</v>
      </c>
      <c r="H69" s="0" t="s">
        <v>3756</v>
      </c>
      <c r="I69" s="0" t="s">
        <v>3757</v>
      </c>
      <c r="J69" s="0" t="s">
        <v>3294</v>
      </c>
      <c r="K69" s="0" t="s">
        <v>3758</v>
      </c>
      <c r="L69" s="0" t="s">
        <v>3758</v>
      </c>
      <c r="M69" s="0" t="s">
        <v>3759</v>
      </c>
      <c r="N69" s="0" t="s">
        <v>3760</v>
      </c>
      <c r="O69" s="0" t="s">
        <v>3761</v>
      </c>
      <c r="P69" s="0" t="s">
        <v>179</v>
      </c>
      <c r="Q69" s="0" t="s">
        <v>3762</v>
      </c>
      <c r="R69" s="0" t="b">
        <v>0</v>
      </c>
      <c r="S69" s="0" t="s">
        <v>3121</v>
      </c>
    </row>
    <row customHeight="1" ht="11.25">
      <c r="A70" s="0">
        <v>2640</v>
      </c>
      <c r="B70" s="0" t="s">
        <v>114</v>
      </c>
      <c r="C70" s="0">
        <v>31529732</v>
      </c>
      <c r="D70" s="0" t="s">
        <v>3763</v>
      </c>
      <c r="E70" s="0" t="s">
        <v>3764</v>
      </c>
      <c r="F70" s="0" t="s">
        <v>3765</v>
      </c>
      <c r="G70" s="0" t="s">
        <v>3766</v>
      </c>
      <c r="H70" s="0" t="s">
        <v>3767</v>
      </c>
      <c r="I70" s="0" t="s">
        <v>3768</v>
      </c>
      <c r="K70" s="0" t="s">
        <v>3769</v>
      </c>
      <c r="L70" s="0" t="s">
        <v>3770</v>
      </c>
      <c r="O70" s="0" t="s">
        <v>3771</v>
      </c>
      <c r="P70" s="0" t="s">
        <v>179</v>
      </c>
      <c r="R70" s="0" t="b">
        <v>0</v>
      </c>
      <c r="S70" s="0" t="s">
        <v>3121</v>
      </c>
    </row>
    <row customHeight="1" ht="11.25">
      <c r="A71" s="0">
        <v>2640</v>
      </c>
      <c r="B71" s="0" t="s">
        <v>114</v>
      </c>
      <c r="C71" s="0">
        <v>31361533</v>
      </c>
      <c r="D71" s="0" t="s">
        <v>3772</v>
      </c>
      <c r="E71" s="0" t="s">
        <v>3773</v>
      </c>
      <c r="F71" s="0" t="s">
        <v>3774</v>
      </c>
      <c r="G71" s="0" t="s">
        <v>3766</v>
      </c>
      <c r="H71" s="0" t="s">
        <v>3775</v>
      </c>
      <c r="I71" s="0" t="s">
        <v>3776</v>
      </c>
      <c r="J71" s="0" t="s">
        <v>3777</v>
      </c>
      <c r="L71" s="0" t="s">
        <v>3778</v>
      </c>
      <c r="M71" s="0" t="s">
        <v>3779</v>
      </c>
      <c r="N71" s="0" t="s">
        <v>3780</v>
      </c>
      <c r="O71" s="0" t="s">
        <v>3781</v>
      </c>
      <c r="P71" s="0" t="s">
        <v>179</v>
      </c>
      <c r="R71" s="0" t="b">
        <v>0</v>
      </c>
      <c r="S71" s="0" t="s">
        <v>3121</v>
      </c>
    </row>
    <row customHeight="1" ht="11.25">
      <c r="A72" s="0">
        <v>2640</v>
      </c>
      <c r="B72" s="0" t="s">
        <v>114</v>
      </c>
      <c r="C72" s="0">
        <v>26359393</v>
      </c>
      <c r="D72" s="0" t="s">
        <v>3782</v>
      </c>
      <c r="E72" s="0" t="s">
        <v>3783</v>
      </c>
      <c r="F72" s="0" t="s">
        <v>3784</v>
      </c>
      <c r="G72" s="0" t="s">
        <v>3785</v>
      </c>
      <c r="H72" s="0" t="s">
        <v>3786</v>
      </c>
      <c r="I72" s="0" t="s">
        <v>3787</v>
      </c>
      <c r="J72" s="0" t="s">
        <v>3127</v>
      </c>
      <c r="K72" s="0" t="s">
        <v>3788</v>
      </c>
      <c r="L72" s="0" t="s">
        <v>3788</v>
      </c>
      <c r="M72" s="0" t="s">
        <v>3789</v>
      </c>
      <c r="N72" s="0" t="s">
        <v>3790</v>
      </c>
      <c r="O72" s="0" t="s">
        <v>3791</v>
      </c>
      <c r="P72" s="0" t="s">
        <v>179</v>
      </c>
      <c r="Q72" s="0" t="s">
        <v>3792</v>
      </c>
      <c r="R72" s="0" t="b">
        <v>0</v>
      </c>
      <c r="S72" s="0" t="s">
        <v>3121</v>
      </c>
    </row>
    <row customHeight="1" ht="11.25">
      <c r="A73" s="0">
        <v>2640</v>
      </c>
      <c r="B73" s="0" t="s">
        <v>114</v>
      </c>
      <c r="C73" s="0">
        <v>30914574</v>
      </c>
      <c r="D73" s="0" t="s">
        <v>3793</v>
      </c>
      <c r="E73" s="0" t="s">
        <v>3794</v>
      </c>
      <c r="F73" s="0" t="s">
        <v>3795</v>
      </c>
      <c r="G73" s="0" t="s">
        <v>3796</v>
      </c>
      <c r="H73" s="0" t="s">
        <v>3797</v>
      </c>
      <c r="I73" s="0" t="s">
        <v>3798</v>
      </c>
      <c r="J73" s="0" t="s">
        <v>3777</v>
      </c>
      <c r="L73" s="0" t="s">
        <v>3799</v>
      </c>
      <c r="M73" s="0" t="s">
        <v>3800</v>
      </c>
      <c r="N73" s="0" t="s">
        <v>3801</v>
      </c>
      <c r="O73" s="0" t="s">
        <v>3802</v>
      </c>
      <c r="P73" s="0" t="s">
        <v>3803</v>
      </c>
      <c r="R73" s="0" t="b">
        <v>0</v>
      </c>
      <c r="S73" s="0" t="s">
        <v>3121</v>
      </c>
    </row>
    <row customHeight="1" ht="11.25">
      <c r="A74" s="0">
        <v>2640</v>
      </c>
      <c r="B74" s="0" t="s">
        <v>114</v>
      </c>
      <c r="C74" s="0">
        <v>26381367</v>
      </c>
      <c r="D74" s="0" t="s">
        <v>3133</v>
      </c>
      <c r="E74" s="0" t="s">
        <v>3134</v>
      </c>
      <c r="F74" s="0" t="s">
        <v>3135</v>
      </c>
      <c r="G74" s="0" t="s">
        <v>3136</v>
      </c>
      <c r="H74" s="0" t="s">
        <v>3137</v>
      </c>
      <c r="I74" s="0" t="s">
        <v>3138</v>
      </c>
      <c r="J74" s="0" t="s">
        <v>3139</v>
      </c>
      <c r="K74" s="0" t="s">
        <v>3140</v>
      </c>
      <c r="L74" s="0" t="s">
        <v>3140</v>
      </c>
      <c r="M74" s="0" t="s">
        <v>3141</v>
      </c>
      <c r="N74" s="0" t="s">
        <v>3142</v>
      </c>
      <c r="O74" s="0" t="s">
        <v>3143</v>
      </c>
      <c r="P74" s="0" t="s">
        <v>3144</v>
      </c>
      <c r="Q74" s="0" t="s">
        <v>3145</v>
      </c>
      <c r="R74" s="0" t="b">
        <v>0</v>
      </c>
      <c r="S74" s="0" t="s">
        <v>3804</v>
      </c>
    </row>
    <row customHeight="1" ht="11.25">
      <c r="A75" s="0">
        <v>2640</v>
      </c>
      <c r="B75" s="0" t="s">
        <v>114</v>
      </c>
      <c r="C75" s="0">
        <v>30383265</v>
      </c>
      <c r="D75" s="0" t="s">
        <v>3805</v>
      </c>
      <c r="E75" s="0" t="s">
        <v>3806</v>
      </c>
      <c r="F75" s="0" t="s">
        <v>3807</v>
      </c>
      <c r="G75" s="0" t="s">
        <v>3160</v>
      </c>
      <c r="H75" s="0" t="s">
        <v>3808</v>
      </c>
      <c r="I75" s="0" t="s">
        <v>3809</v>
      </c>
      <c r="K75" s="0" t="s">
        <v>3810</v>
      </c>
      <c r="L75" s="0" t="s">
        <v>3810</v>
      </c>
      <c r="M75" s="0" t="s">
        <v>3811</v>
      </c>
      <c r="N75" s="0" t="s">
        <v>3812</v>
      </c>
      <c r="O75" s="0" t="s">
        <v>3813</v>
      </c>
      <c r="P75" s="0" t="s">
        <v>3119</v>
      </c>
      <c r="R75" s="0" t="b">
        <v>0</v>
      </c>
      <c r="S75" s="0" t="s">
        <v>3804</v>
      </c>
    </row>
    <row customHeight="1" ht="11.25">
      <c r="A76" s="0">
        <v>2640</v>
      </c>
      <c r="B76" s="0" t="s">
        <v>114</v>
      </c>
      <c r="C76" s="0">
        <v>26375482</v>
      </c>
      <c r="D76" s="0" t="s">
        <v>3157</v>
      </c>
      <c r="E76" s="0" t="s">
        <v>3158</v>
      </c>
      <c r="F76" s="0" t="s">
        <v>3159</v>
      </c>
      <c r="G76" s="0" t="s">
        <v>3160</v>
      </c>
      <c r="H76" s="0" t="s">
        <v>3161</v>
      </c>
      <c r="I76" s="0" t="s">
        <v>3162</v>
      </c>
      <c r="J76" s="0" t="s">
        <v>3127</v>
      </c>
      <c r="K76" s="0" t="s">
        <v>3163</v>
      </c>
      <c r="L76" s="0" t="s">
        <v>3164</v>
      </c>
      <c r="M76" s="0" t="s">
        <v>3165</v>
      </c>
      <c r="N76" s="0" t="s">
        <v>3166</v>
      </c>
      <c r="O76" s="0" t="s">
        <v>3167</v>
      </c>
      <c r="P76" s="0" t="s">
        <v>3119</v>
      </c>
      <c r="Q76" s="0" t="s">
        <v>3168</v>
      </c>
      <c r="R76" s="0" t="b">
        <v>0</v>
      </c>
      <c r="S76" s="0" t="s">
        <v>3804</v>
      </c>
    </row>
    <row customHeight="1" ht="11.25">
      <c r="A77" s="0">
        <v>2640</v>
      </c>
      <c r="B77" s="0" t="s">
        <v>114</v>
      </c>
      <c r="C77" s="0">
        <v>26375481</v>
      </c>
      <c r="D77" s="0" t="s">
        <v>3814</v>
      </c>
      <c r="E77" s="0" t="s">
        <v>3815</v>
      </c>
      <c r="F77" s="0" t="s">
        <v>3816</v>
      </c>
      <c r="G77" s="0" t="s">
        <v>3184</v>
      </c>
      <c r="H77" s="0" t="s">
        <v>3817</v>
      </c>
      <c r="I77" s="0" t="s">
        <v>3818</v>
      </c>
      <c r="J77" s="0" t="s">
        <v>3127</v>
      </c>
      <c r="K77" s="0" t="s">
        <v>3819</v>
      </c>
      <c r="L77" s="0" t="s">
        <v>3819</v>
      </c>
      <c r="M77" s="0" t="s">
        <v>3820</v>
      </c>
      <c r="N77" s="0" t="s">
        <v>3821</v>
      </c>
      <c r="O77" s="0" t="s">
        <v>3167</v>
      </c>
      <c r="P77" s="0" t="s">
        <v>3119</v>
      </c>
      <c r="Q77" s="0" t="s">
        <v>3822</v>
      </c>
      <c r="R77" s="0" t="b">
        <v>0</v>
      </c>
      <c r="S77" s="0" t="s">
        <v>3804</v>
      </c>
    </row>
    <row customHeight="1" ht="11.25">
      <c r="A78" s="0">
        <v>2640</v>
      </c>
      <c r="B78" s="0" t="s">
        <v>114</v>
      </c>
      <c r="C78" s="0">
        <v>26355818</v>
      </c>
      <c r="D78" s="0" t="s">
        <v>3227</v>
      </c>
      <c r="E78" s="0" t="s">
        <v>3228</v>
      </c>
      <c r="F78" s="0" t="s">
        <v>3229</v>
      </c>
      <c r="G78" s="0" t="s">
        <v>3230</v>
      </c>
      <c r="H78" s="0" t="s">
        <v>3231</v>
      </c>
      <c r="I78" s="0" t="s">
        <v>3232</v>
      </c>
      <c r="J78" s="0" t="s">
        <v>3139</v>
      </c>
      <c r="K78" s="0" t="s">
        <v>3233</v>
      </c>
      <c r="L78" s="0" t="s">
        <v>3234</v>
      </c>
      <c r="M78" s="0" t="s">
        <v>3235</v>
      </c>
      <c r="N78" s="0" t="s">
        <v>3236</v>
      </c>
      <c r="O78" s="0" t="s">
        <v>3237</v>
      </c>
      <c r="P78" s="0" t="s">
        <v>3119</v>
      </c>
      <c r="Q78" s="0" t="s">
        <v>190</v>
      </c>
      <c r="R78" s="0" t="b">
        <v>0</v>
      </c>
      <c r="S78" s="0" t="s">
        <v>3804</v>
      </c>
    </row>
    <row customHeight="1" ht="11.25">
      <c r="A79" s="0">
        <v>2640</v>
      </c>
      <c r="B79" s="0" t="s">
        <v>114</v>
      </c>
      <c r="C79" s="0">
        <v>30847016</v>
      </c>
      <c r="D79" s="0" t="s">
        <v>3238</v>
      </c>
      <c r="E79" s="0" t="s">
        <v>3238</v>
      </c>
      <c r="F79" s="0" t="s">
        <v>3229</v>
      </c>
      <c r="G79" s="0" t="s">
        <v>3239</v>
      </c>
      <c r="H79" s="0" t="s">
        <v>3231</v>
      </c>
      <c r="J79" s="0" t="s">
        <v>3139</v>
      </c>
      <c r="O79" s="0" t="s">
        <v>3240</v>
      </c>
      <c r="P79" s="0" t="s">
        <v>3241</v>
      </c>
      <c r="R79" s="0" t="b">
        <v>0</v>
      </c>
      <c r="S79" s="0" t="s">
        <v>3804</v>
      </c>
    </row>
    <row customHeight="1" ht="11.25">
      <c r="A80" s="0">
        <v>2640</v>
      </c>
      <c r="B80" s="0" t="s">
        <v>114</v>
      </c>
      <c r="C80" s="0">
        <v>28435519</v>
      </c>
      <c r="D80" s="0" t="s">
        <v>3251</v>
      </c>
      <c r="E80" s="0" t="s">
        <v>3252</v>
      </c>
      <c r="F80" s="0" t="s">
        <v>3253</v>
      </c>
      <c r="G80" s="0" t="s">
        <v>3184</v>
      </c>
      <c r="H80" s="0" t="s">
        <v>3254</v>
      </c>
      <c r="I80" s="0" t="s">
        <v>3255</v>
      </c>
      <c r="J80" s="0" t="s">
        <v>3256</v>
      </c>
      <c r="K80" s="0" t="s">
        <v>3257</v>
      </c>
      <c r="L80" s="0" t="s">
        <v>3257</v>
      </c>
      <c r="M80" s="0" t="s">
        <v>3258</v>
      </c>
      <c r="N80" s="0" t="s">
        <v>190</v>
      </c>
      <c r="O80" s="0" t="s">
        <v>3259</v>
      </c>
      <c r="P80" s="0" t="s">
        <v>179</v>
      </c>
      <c r="Q80" s="0" t="s">
        <v>190</v>
      </c>
      <c r="R80" s="0" t="b">
        <v>1</v>
      </c>
      <c r="S80" s="0" t="s">
        <v>3804</v>
      </c>
    </row>
    <row customHeight="1" ht="11.25">
      <c r="A81" s="0">
        <v>2640</v>
      </c>
      <c r="B81" s="0" t="s">
        <v>114</v>
      </c>
      <c r="C81" s="0">
        <v>30991982</v>
      </c>
      <c r="D81" s="0" t="s">
        <v>3260</v>
      </c>
      <c r="E81" s="0" t="s">
        <v>3261</v>
      </c>
      <c r="F81" s="0" t="s">
        <v>3262</v>
      </c>
      <c r="G81" s="0" t="s">
        <v>3263</v>
      </c>
      <c r="H81" s="0" t="s">
        <v>3264</v>
      </c>
      <c r="I81" s="0" t="s">
        <v>3265</v>
      </c>
      <c r="J81" s="0" t="s">
        <v>3256</v>
      </c>
      <c r="K81" s="0" t="s">
        <v>3266</v>
      </c>
      <c r="L81" s="0" t="s">
        <v>3266</v>
      </c>
      <c r="M81" s="0" t="s">
        <v>3267</v>
      </c>
      <c r="N81" s="0" t="s">
        <v>3268</v>
      </c>
      <c r="O81" s="0" t="s">
        <v>3269</v>
      </c>
      <c r="P81" s="0" t="s">
        <v>179</v>
      </c>
      <c r="R81" s="0" t="b">
        <v>1</v>
      </c>
      <c r="S81" s="0" t="s">
        <v>3804</v>
      </c>
    </row>
    <row customHeight="1" ht="11.25">
      <c r="A82" s="0">
        <v>2640</v>
      </c>
      <c r="B82" s="0" t="s">
        <v>114</v>
      </c>
      <c r="C82" s="0">
        <v>31267095</v>
      </c>
      <c r="D82" s="0" t="s">
        <v>3270</v>
      </c>
      <c r="E82" s="0" t="s">
        <v>3271</v>
      </c>
      <c r="F82" s="0" t="s">
        <v>3272</v>
      </c>
      <c r="G82" s="0" t="s">
        <v>3273</v>
      </c>
      <c r="H82" s="0" t="s">
        <v>3274</v>
      </c>
      <c r="J82" s="0" t="s">
        <v>3256</v>
      </c>
      <c r="K82" s="0" t="s">
        <v>3275</v>
      </c>
      <c r="L82" s="0" t="s">
        <v>3275</v>
      </c>
      <c r="M82" s="0" t="s">
        <v>3276</v>
      </c>
      <c r="N82" s="0" t="s">
        <v>3277</v>
      </c>
      <c r="O82" s="0" t="s">
        <v>3278</v>
      </c>
      <c r="P82" s="0" t="s">
        <v>179</v>
      </c>
      <c r="R82" s="0" t="b">
        <v>1</v>
      </c>
      <c r="S82" s="0" t="s">
        <v>3804</v>
      </c>
    </row>
    <row customHeight="1" ht="11.25">
      <c r="A83" s="0">
        <v>2640</v>
      </c>
      <c r="B83" s="0" t="s">
        <v>114</v>
      </c>
      <c r="C83" s="0">
        <v>31310155</v>
      </c>
      <c r="D83" s="0" t="s">
        <v>3279</v>
      </c>
      <c r="E83" s="0" t="s">
        <v>3280</v>
      </c>
      <c r="F83" s="0" t="s">
        <v>3281</v>
      </c>
      <c r="G83" s="0" t="s">
        <v>3184</v>
      </c>
      <c r="H83" s="0" t="s">
        <v>3282</v>
      </c>
      <c r="I83" s="0" t="s">
        <v>3283</v>
      </c>
      <c r="J83" s="0" t="s">
        <v>3256</v>
      </c>
      <c r="K83" s="0" t="s">
        <v>3284</v>
      </c>
      <c r="L83" s="0" t="s">
        <v>3284</v>
      </c>
      <c r="M83" s="0" t="s">
        <v>3285</v>
      </c>
      <c r="N83" s="0" t="s">
        <v>3286</v>
      </c>
      <c r="O83" s="0" t="s">
        <v>3287</v>
      </c>
      <c r="P83" s="0" t="s">
        <v>179</v>
      </c>
      <c r="R83" s="0" t="b">
        <v>1</v>
      </c>
      <c r="S83" s="0" t="s">
        <v>3804</v>
      </c>
    </row>
    <row customHeight="1" ht="11.25">
      <c r="A84" s="0">
        <v>2640</v>
      </c>
      <c r="B84" s="0" t="s">
        <v>114</v>
      </c>
      <c r="C84" s="0">
        <v>26561219</v>
      </c>
      <c r="D84" s="0" t="s">
        <v>3299</v>
      </c>
      <c r="E84" s="0" t="s">
        <v>3300</v>
      </c>
      <c r="F84" s="0" t="s">
        <v>3301</v>
      </c>
      <c r="G84" s="0" t="s">
        <v>3112</v>
      </c>
      <c r="H84" s="0" t="s">
        <v>3302</v>
      </c>
      <c r="I84" s="0" t="s">
        <v>3303</v>
      </c>
      <c r="J84" s="0" t="s">
        <v>3294</v>
      </c>
      <c r="K84" s="0" t="s">
        <v>3304</v>
      </c>
      <c r="L84" s="0" t="s">
        <v>3305</v>
      </c>
      <c r="M84" s="0" t="s">
        <v>3306</v>
      </c>
      <c r="N84" s="0" t="s">
        <v>3307</v>
      </c>
      <c r="O84" s="0" t="s">
        <v>3308</v>
      </c>
      <c r="P84" s="0" t="s">
        <v>3309</v>
      </c>
      <c r="Q84" s="0" t="s">
        <v>190</v>
      </c>
      <c r="R84" s="0" t="b">
        <v>0</v>
      </c>
      <c r="S84" s="0" t="s">
        <v>3804</v>
      </c>
    </row>
    <row customHeight="1" ht="11.25">
      <c r="A85" s="0">
        <v>2640</v>
      </c>
      <c r="B85" s="0" t="s">
        <v>114</v>
      </c>
      <c r="C85" s="0">
        <v>31435551</v>
      </c>
      <c r="D85" s="0" t="s">
        <v>3310</v>
      </c>
      <c r="E85" s="0" t="s">
        <v>3310</v>
      </c>
      <c r="F85" s="0" t="s">
        <v>3311</v>
      </c>
      <c r="G85" s="0" t="s">
        <v>3263</v>
      </c>
      <c r="H85" s="0" t="s">
        <v>3312</v>
      </c>
      <c r="J85" s="0" t="s">
        <v>3294</v>
      </c>
      <c r="K85" s="0" t="s">
        <v>3313</v>
      </c>
      <c r="L85" s="0" t="s">
        <v>3313</v>
      </c>
      <c r="M85" s="0" t="s">
        <v>3314</v>
      </c>
      <c r="N85" s="0" t="s">
        <v>3315</v>
      </c>
      <c r="O85" s="0" t="s">
        <v>3316</v>
      </c>
      <c r="P85" s="0" t="s">
        <v>3317</v>
      </c>
      <c r="R85" s="0" t="b">
        <v>1</v>
      </c>
      <c r="S85" s="0" t="s">
        <v>3804</v>
      </c>
    </row>
    <row customHeight="1" ht="11.25">
      <c r="A86" s="0">
        <v>2640</v>
      </c>
      <c r="B86" s="0" t="s">
        <v>114</v>
      </c>
      <c r="C86" s="0">
        <v>31507320</v>
      </c>
      <c r="D86" s="0" t="s">
        <v>3328</v>
      </c>
      <c r="E86" s="0" t="s">
        <v>3329</v>
      </c>
      <c r="F86" s="0" t="s">
        <v>3330</v>
      </c>
      <c r="G86" s="0" t="s">
        <v>3263</v>
      </c>
      <c r="H86" s="0" t="s">
        <v>3331</v>
      </c>
      <c r="I86" s="0" t="s">
        <v>3332</v>
      </c>
      <c r="J86" s="0" t="s">
        <v>3294</v>
      </c>
      <c r="K86" s="0" t="s">
        <v>3333</v>
      </c>
      <c r="L86" s="0" t="s">
        <v>3333</v>
      </c>
      <c r="M86" s="0" t="s">
        <v>3334</v>
      </c>
      <c r="O86" s="0" t="s">
        <v>3327</v>
      </c>
      <c r="P86" s="0" t="s">
        <v>3335</v>
      </c>
      <c r="R86" s="0" t="b">
        <v>1</v>
      </c>
      <c r="S86" s="0" t="s">
        <v>3804</v>
      </c>
    </row>
    <row customHeight="1" ht="11.25">
      <c r="A87" s="0">
        <v>2640</v>
      </c>
      <c r="B87" s="0" t="s">
        <v>114</v>
      </c>
      <c r="C87" s="0">
        <v>26375471</v>
      </c>
      <c r="D87" s="0" t="s">
        <v>3378</v>
      </c>
      <c r="E87" s="0" t="s">
        <v>3379</v>
      </c>
      <c r="F87" s="0" t="s">
        <v>3380</v>
      </c>
      <c r="G87" s="0" t="s">
        <v>3381</v>
      </c>
      <c r="H87" s="0" t="s">
        <v>3382</v>
      </c>
      <c r="I87" s="0" t="s">
        <v>3383</v>
      </c>
      <c r="J87" s="0" t="s">
        <v>3294</v>
      </c>
      <c r="K87" s="0" t="s">
        <v>3384</v>
      </c>
      <c r="L87" s="0" t="s">
        <v>3384</v>
      </c>
      <c r="M87" s="0" t="s">
        <v>3385</v>
      </c>
      <c r="N87" s="0" t="s">
        <v>3386</v>
      </c>
      <c r="O87" s="0" t="s">
        <v>3387</v>
      </c>
      <c r="P87" s="0" t="s">
        <v>179</v>
      </c>
      <c r="Q87" s="0" t="s">
        <v>190</v>
      </c>
      <c r="R87" s="0" t="b">
        <v>1</v>
      </c>
      <c r="S87" s="0" t="s">
        <v>3804</v>
      </c>
    </row>
    <row customHeight="1" ht="11.25">
      <c r="A88" s="0">
        <v>2640</v>
      </c>
      <c r="B88" s="0" t="s">
        <v>114</v>
      </c>
      <c r="C88" s="0">
        <v>26375411</v>
      </c>
      <c r="D88" s="0" t="s">
        <v>3398</v>
      </c>
      <c r="E88" s="0" t="s">
        <v>3399</v>
      </c>
      <c r="F88" s="0" t="s">
        <v>3400</v>
      </c>
      <c r="G88" s="0" t="s">
        <v>3112</v>
      </c>
      <c r="H88" s="0" t="s">
        <v>3401</v>
      </c>
      <c r="I88" s="0" t="s">
        <v>3402</v>
      </c>
      <c r="J88" s="0" t="s">
        <v>3294</v>
      </c>
      <c r="K88" s="0" t="s">
        <v>3403</v>
      </c>
      <c r="L88" s="0" t="s">
        <v>3403</v>
      </c>
      <c r="M88" s="0" t="s">
        <v>3404</v>
      </c>
      <c r="N88" s="0" t="s">
        <v>3405</v>
      </c>
      <c r="O88" s="0" t="s">
        <v>3406</v>
      </c>
      <c r="P88" s="0" t="s">
        <v>179</v>
      </c>
      <c r="Q88" s="0" t="s">
        <v>190</v>
      </c>
      <c r="R88" s="0" t="b">
        <v>1</v>
      </c>
      <c r="S88" s="0" t="s">
        <v>3804</v>
      </c>
    </row>
    <row customHeight="1" ht="11.25">
      <c r="A89" s="0">
        <v>2640</v>
      </c>
      <c r="B89" s="0" t="s">
        <v>114</v>
      </c>
      <c r="C89" s="0">
        <v>31409408</v>
      </c>
      <c r="D89" s="0" t="s">
        <v>3500</v>
      </c>
      <c r="E89" s="0" t="s">
        <v>3501</v>
      </c>
      <c r="F89" s="0" t="s">
        <v>3502</v>
      </c>
      <c r="G89" s="0" t="s">
        <v>149</v>
      </c>
      <c r="H89" s="0" t="s">
        <v>3503</v>
      </c>
      <c r="I89" s="0" t="s">
        <v>3504</v>
      </c>
      <c r="J89" s="0" t="s">
        <v>3505</v>
      </c>
      <c r="K89" s="0" t="s">
        <v>3506</v>
      </c>
      <c r="L89" s="0" t="s">
        <v>3506</v>
      </c>
      <c r="M89" s="0" t="s">
        <v>3507</v>
      </c>
      <c r="N89" s="0" t="s">
        <v>3508</v>
      </c>
      <c r="O89" s="0" t="s">
        <v>3509</v>
      </c>
      <c r="P89" s="0" t="s">
        <v>3510</v>
      </c>
      <c r="R89" s="0" t="b">
        <v>1</v>
      </c>
      <c r="S89" s="0" t="s">
        <v>3804</v>
      </c>
    </row>
    <row customHeight="1" ht="11.25">
      <c r="A90" s="0">
        <v>2640</v>
      </c>
      <c r="B90" s="0" t="s">
        <v>114</v>
      </c>
      <c r="C90" s="0">
        <v>31509317</v>
      </c>
      <c r="D90" s="0" t="s">
        <v>3526</v>
      </c>
      <c r="E90" s="0" t="s">
        <v>3527</v>
      </c>
      <c r="F90" s="0" t="s">
        <v>3528</v>
      </c>
      <c r="G90" s="0" t="s">
        <v>3529</v>
      </c>
      <c r="H90" s="0" t="s">
        <v>3530</v>
      </c>
      <c r="J90" s="0" t="s">
        <v>156</v>
      </c>
      <c r="K90" s="0" t="s">
        <v>3531</v>
      </c>
      <c r="L90" s="0" t="s">
        <v>3531</v>
      </c>
      <c r="M90" s="0" t="s">
        <v>3532</v>
      </c>
      <c r="O90" s="0" t="s">
        <v>3533</v>
      </c>
      <c r="P90" s="0" t="s">
        <v>179</v>
      </c>
      <c r="Q90" s="0" t="s">
        <v>3534</v>
      </c>
      <c r="R90" s="0" t="b">
        <v>0</v>
      </c>
      <c r="S90" s="0" t="s">
        <v>3804</v>
      </c>
    </row>
    <row customHeight="1" ht="11.25">
      <c r="A91" s="0">
        <v>2640</v>
      </c>
      <c r="B91" s="0" t="s">
        <v>114</v>
      </c>
      <c r="C91" s="0">
        <v>31434145</v>
      </c>
      <c r="D91" s="0" t="s">
        <v>3546</v>
      </c>
      <c r="E91" s="0" t="s">
        <v>3547</v>
      </c>
      <c r="F91" s="0" t="s">
        <v>3548</v>
      </c>
      <c r="G91" s="0" t="s">
        <v>3112</v>
      </c>
      <c r="H91" s="0" t="s">
        <v>3549</v>
      </c>
      <c r="I91" s="0" t="s">
        <v>3550</v>
      </c>
      <c r="J91" s="0" t="s">
        <v>3541</v>
      </c>
      <c r="K91" s="0" t="s">
        <v>3551</v>
      </c>
      <c r="L91" s="0" t="s">
        <v>3551</v>
      </c>
      <c r="M91" s="0" t="s">
        <v>3552</v>
      </c>
      <c r="O91" s="0" t="s">
        <v>3553</v>
      </c>
      <c r="P91" s="0" t="s">
        <v>3335</v>
      </c>
      <c r="Q91" s="0" t="s">
        <v>3554</v>
      </c>
      <c r="R91" s="0" t="b">
        <v>0</v>
      </c>
      <c r="S91" s="0" t="s">
        <v>3804</v>
      </c>
    </row>
    <row customHeight="1" ht="11.25">
      <c r="A92" s="0">
        <v>2640</v>
      </c>
      <c r="B92" s="0" t="s">
        <v>114</v>
      </c>
      <c r="C92" s="0">
        <v>26381401</v>
      </c>
      <c r="D92" s="0" t="s">
        <v>3823</v>
      </c>
      <c r="E92" s="0" t="s">
        <v>3824</v>
      </c>
      <c r="F92" s="0" t="s">
        <v>3825</v>
      </c>
      <c r="G92" s="0" t="s">
        <v>3184</v>
      </c>
      <c r="H92" s="0" t="s">
        <v>3826</v>
      </c>
      <c r="I92" s="0" t="s">
        <v>3827</v>
      </c>
      <c r="J92" s="0" t="s">
        <v>3541</v>
      </c>
      <c r="K92" s="0" t="s">
        <v>3828</v>
      </c>
      <c r="L92" s="0" t="s">
        <v>3828</v>
      </c>
      <c r="M92" s="0" t="s">
        <v>3829</v>
      </c>
      <c r="N92" s="0" t="s">
        <v>3830</v>
      </c>
      <c r="O92" s="0" t="s">
        <v>3831</v>
      </c>
      <c r="P92" s="0" t="s">
        <v>179</v>
      </c>
      <c r="Q92" s="0" t="s">
        <v>3832</v>
      </c>
      <c r="R92" s="0" t="b">
        <v>0</v>
      </c>
      <c r="S92" s="0" t="s">
        <v>3804</v>
      </c>
    </row>
    <row customHeight="1" ht="11.25">
      <c r="A93" s="0">
        <v>2640</v>
      </c>
      <c r="B93" s="0" t="s">
        <v>114</v>
      </c>
      <c r="C93" s="0">
        <v>26468195</v>
      </c>
      <c r="D93" s="0" t="s">
        <v>3555</v>
      </c>
      <c r="E93" s="0" t="s">
        <v>3556</v>
      </c>
      <c r="F93" s="0" t="s">
        <v>3557</v>
      </c>
      <c r="G93" s="0" t="s">
        <v>3558</v>
      </c>
      <c r="H93" s="0" t="s">
        <v>3559</v>
      </c>
      <c r="I93" s="0" t="s">
        <v>3560</v>
      </c>
      <c r="J93" s="0" t="s">
        <v>3561</v>
      </c>
      <c r="K93" s="0" t="s">
        <v>3562</v>
      </c>
      <c r="L93" s="0" t="s">
        <v>3562</v>
      </c>
      <c r="M93" s="0" t="s">
        <v>3563</v>
      </c>
      <c r="N93" s="0" t="s">
        <v>3564</v>
      </c>
      <c r="O93" s="0" t="s">
        <v>3565</v>
      </c>
      <c r="P93" s="0" t="s">
        <v>179</v>
      </c>
      <c r="Q93" s="0" t="s">
        <v>190</v>
      </c>
      <c r="R93" s="0" t="b">
        <v>0</v>
      </c>
      <c r="S93" s="0" t="s">
        <v>3804</v>
      </c>
    </row>
    <row customHeight="1" ht="11.25">
      <c r="A94" s="0">
        <v>2640</v>
      </c>
      <c r="B94" s="0" t="s">
        <v>114</v>
      </c>
      <c r="C94" s="0">
        <v>30383260</v>
      </c>
      <c r="D94" s="0" t="s">
        <v>3833</v>
      </c>
      <c r="E94" s="0" t="s">
        <v>3834</v>
      </c>
      <c r="F94" s="0" t="s">
        <v>3835</v>
      </c>
      <c r="G94" s="0" t="s">
        <v>3172</v>
      </c>
      <c r="H94" s="0" t="s">
        <v>3836</v>
      </c>
      <c r="I94" s="0" t="s">
        <v>3837</v>
      </c>
      <c r="L94" s="0" t="s">
        <v>3838</v>
      </c>
      <c r="M94" s="0" t="s">
        <v>3839</v>
      </c>
      <c r="N94" s="0" t="s">
        <v>3840</v>
      </c>
      <c r="O94" s="0" t="s">
        <v>3841</v>
      </c>
      <c r="P94" s="0" t="s">
        <v>179</v>
      </c>
      <c r="R94" s="0" t="b">
        <v>0</v>
      </c>
      <c r="S94" s="0" t="s">
        <v>3804</v>
      </c>
    </row>
    <row customHeight="1" ht="11.25">
      <c r="A95" s="0">
        <v>2640</v>
      </c>
      <c r="B95" s="0" t="s">
        <v>114</v>
      </c>
      <c r="C95" s="0">
        <v>30858687</v>
      </c>
      <c r="D95" s="0" t="s">
        <v>3842</v>
      </c>
      <c r="E95" s="0" t="s">
        <v>3843</v>
      </c>
      <c r="F95" s="0" t="s">
        <v>3844</v>
      </c>
      <c r="G95" s="0" t="s">
        <v>149</v>
      </c>
      <c r="H95" s="0" t="s">
        <v>3845</v>
      </c>
      <c r="I95" s="0" t="s">
        <v>3846</v>
      </c>
      <c r="J95" s="0" t="s">
        <v>156</v>
      </c>
      <c r="L95" s="0" t="s">
        <v>3847</v>
      </c>
      <c r="M95" s="0" t="s">
        <v>3848</v>
      </c>
      <c r="N95" s="0" t="s">
        <v>3849</v>
      </c>
      <c r="O95" s="0" t="s">
        <v>3850</v>
      </c>
      <c r="P95" s="0" t="s">
        <v>3119</v>
      </c>
      <c r="R95" s="0" t="b">
        <v>0</v>
      </c>
      <c r="S95" s="0" t="s">
        <v>3804</v>
      </c>
    </row>
    <row customHeight="1" ht="11.25">
      <c r="A96" s="0">
        <v>2640</v>
      </c>
      <c r="B96" s="0" t="s">
        <v>114</v>
      </c>
      <c r="C96" s="0">
        <v>28462001</v>
      </c>
      <c r="D96" s="0" t="s">
        <v>3586</v>
      </c>
      <c r="E96" s="0" t="s">
        <v>3587</v>
      </c>
      <c r="F96" s="0" t="s">
        <v>3588</v>
      </c>
      <c r="G96" s="0" t="s">
        <v>3160</v>
      </c>
      <c r="H96" s="0" t="s">
        <v>3589</v>
      </c>
      <c r="I96" s="0" t="s">
        <v>3590</v>
      </c>
      <c r="J96" s="0" t="s">
        <v>156</v>
      </c>
      <c r="L96" s="0" t="s">
        <v>3591</v>
      </c>
      <c r="M96" s="0" t="s">
        <v>3592</v>
      </c>
      <c r="N96" s="0" t="s">
        <v>3593</v>
      </c>
      <c r="O96" s="0" t="s">
        <v>3594</v>
      </c>
      <c r="P96" s="0" t="s">
        <v>179</v>
      </c>
      <c r="Q96" s="0" t="s">
        <v>190</v>
      </c>
      <c r="R96" s="0" t="b">
        <v>1</v>
      </c>
      <c r="S96" s="0" t="s">
        <v>3804</v>
      </c>
    </row>
    <row customHeight="1" ht="11.25">
      <c r="A97" s="0">
        <v>2640</v>
      </c>
      <c r="B97" s="0" t="s">
        <v>114</v>
      </c>
      <c r="C97" s="0">
        <v>31594903</v>
      </c>
      <c r="D97" s="0" t="s">
        <v>3595</v>
      </c>
      <c r="E97" s="0" t="s">
        <v>3596</v>
      </c>
      <c r="F97" s="0" t="s">
        <v>3597</v>
      </c>
      <c r="G97" s="0" t="s">
        <v>3263</v>
      </c>
      <c r="H97" s="0" t="s">
        <v>3598</v>
      </c>
      <c r="I97" s="0" t="s">
        <v>3599</v>
      </c>
      <c r="K97" s="0" t="s">
        <v>3600</v>
      </c>
      <c r="L97" s="0" t="s">
        <v>3600</v>
      </c>
      <c r="M97" s="0" t="s">
        <v>3601</v>
      </c>
      <c r="N97" s="0" t="s">
        <v>3602</v>
      </c>
      <c r="O97" s="0" t="s">
        <v>3603</v>
      </c>
      <c r="P97" s="0" t="s">
        <v>3604</v>
      </c>
      <c r="R97" s="0" t="b">
        <v>1</v>
      </c>
      <c r="S97" s="0" t="s">
        <v>3804</v>
      </c>
    </row>
    <row customHeight="1" ht="11.25">
      <c r="A98" s="0">
        <v>2640</v>
      </c>
      <c r="B98" s="0" t="s">
        <v>114</v>
      </c>
      <c r="C98" s="0">
        <v>26505139</v>
      </c>
      <c r="D98" s="0" t="s">
        <v>3605</v>
      </c>
      <c r="E98" s="0" t="s">
        <v>3606</v>
      </c>
      <c r="F98" s="0" t="s">
        <v>3607</v>
      </c>
      <c r="G98" s="0" t="s">
        <v>3273</v>
      </c>
      <c r="H98" s="0" t="s">
        <v>3608</v>
      </c>
      <c r="I98" s="0" t="s">
        <v>3609</v>
      </c>
      <c r="J98" s="0" t="s">
        <v>156</v>
      </c>
      <c r="K98" s="0" t="s">
        <v>3610</v>
      </c>
      <c r="L98" s="0" t="s">
        <v>3610</v>
      </c>
      <c r="M98" s="0" t="s">
        <v>3611</v>
      </c>
      <c r="N98" s="0" t="s">
        <v>3612</v>
      </c>
      <c r="O98" s="0" t="s">
        <v>3613</v>
      </c>
      <c r="P98" s="0" t="s">
        <v>179</v>
      </c>
      <c r="Q98" s="0" t="s">
        <v>3614</v>
      </c>
      <c r="R98" s="0" t="b">
        <v>1</v>
      </c>
      <c r="S98" s="0" t="s">
        <v>3804</v>
      </c>
    </row>
    <row customHeight="1" ht="11.25">
      <c r="A99" s="0">
        <v>2640</v>
      </c>
      <c r="B99" s="0" t="s">
        <v>114</v>
      </c>
      <c r="C99" s="0">
        <v>26381397</v>
      </c>
      <c r="D99" s="0" t="s">
        <v>3605</v>
      </c>
      <c r="E99" s="0" t="s">
        <v>3606</v>
      </c>
      <c r="F99" s="0" t="s">
        <v>3851</v>
      </c>
      <c r="G99" s="0" t="s">
        <v>3558</v>
      </c>
      <c r="H99" s="0" t="s">
        <v>3852</v>
      </c>
      <c r="I99" s="0" t="s">
        <v>3853</v>
      </c>
      <c r="J99" s="0" t="s">
        <v>156</v>
      </c>
      <c r="K99" s="0" t="s">
        <v>3854</v>
      </c>
      <c r="L99" s="0" t="s">
        <v>3855</v>
      </c>
      <c r="M99" s="0" t="s">
        <v>3856</v>
      </c>
      <c r="N99" s="0" t="s">
        <v>3857</v>
      </c>
      <c r="O99" s="0" t="s">
        <v>3858</v>
      </c>
      <c r="P99" s="0" t="s">
        <v>179</v>
      </c>
      <c r="Q99" s="0" t="s">
        <v>190</v>
      </c>
      <c r="R99" s="0" t="b">
        <v>1</v>
      </c>
      <c r="S99" s="0" t="s">
        <v>3804</v>
      </c>
    </row>
    <row customHeight="1" ht="11.25">
      <c r="A100" s="0">
        <v>2640</v>
      </c>
      <c r="B100" s="0" t="s">
        <v>114</v>
      </c>
      <c r="C100" s="0">
        <v>31750641</v>
      </c>
      <c r="D100" s="0" t="s">
        <v>3615</v>
      </c>
      <c r="E100" s="0" t="s">
        <v>3616</v>
      </c>
      <c r="F100" s="0" t="s">
        <v>3617</v>
      </c>
      <c r="G100" s="0" t="s">
        <v>3321</v>
      </c>
      <c r="H100" s="0" t="s">
        <v>3618</v>
      </c>
      <c r="I100" s="0" t="s">
        <v>3619</v>
      </c>
      <c r="K100" s="0" t="s">
        <v>242</v>
      </c>
      <c r="L100" s="0" t="s">
        <v>3620</v>
      </c>
      <c r="M100" s="0" t="s">
        <v>3621</v>
      </c>
      <c r="N100" s="0" t="s">
        <v>3622</v>
      </c>
      <c r="O100" s="0" t="s">
        <v>3623</v>
      </c>
      <c r="P100" s="0" t="s">
        <v>3624</v>
      </c>
      <c r="Q100" s="0" t="s">
        <v>242</v>
      </c>
      <c r="R100" s="0" t="b">
        <v>0</v>
      </c>
      <c r="S100" s="0" t="s">
        <v>3804</v>
      </c>
    </row>
    <row customHeight="1" ht="11.25">
      <c r="A101" s="0">
        <v>2640</v>
      </c>
      <c r="B101" s="0" t="s">
        <v>114</v>
      </c>
      <c r="C101" s="0">
        <v>26539803</v>
      </c>
      <c r="D101" s="0" t="s">
        <v>3635</v>
      </c>
      <c r="E101" s="0" t="s">
        <v>3636</v>
      </c>
      <c r="F101" s="0" t="s">
        <v>3637</v>
      </c>
      <c r="G101" s="0" t="s">
        <v>3195</v>
      </c>
      <c r="H101" s="0" t="s">
        <v>3638</v>
      </c>
      <c r="I101" s="0" t="s">
        <v>3639</v>
      </c>
      <c r="J101" s="0" t="s">
        <v>156</v>
      </c>
      <c r="K101" s="0" t="s">
        <v>3640</v>
      </c>
      <c r="L101" s="0" t="s">
        <v>3640</v>
      </c>
      <c r="M101" s="0" t="s">
        <v>3641</v>
      </c>
      <c r="N101" s="0" t="s">
        <v>3642</v>
      </c>
      <c r="O101" s="0" t="s">
        <v>3643</v>
      </c>
      <c r="P101" s="0" t="s">
        <v>3644</v>
      </c>
      <c r="Q101" s="0" t="s">
        <v>3645</v>
      </c>
      <c r="R101" s="0" t="b">
        <v>1</v>
      </c>
      <c r="S101" s="0" t="s">
        <v>3804</v>
      </c>
    </row>
    <row customHeight="1" ht="11.25">
      <c r="A102" s="0">
        <v>2640</v>
      </c>
      <c r="B102" s="0" t="s">
        <v>114</v>
      </c>
      <c r="C102" s="0">
        <v>31370460</v>
      </c>
      <c r="D102" s="0" t="s">
        <v>3646</v>
      </c>
      <c r="E102" s="0" t="s">
        <v>3647</v>
      </c>
      <c r="F102" s="0" t="s">
        <v>3648</v>
      </c>
      <c r="G102" s="0" t="s">
        <v>149</v>
      </c>
      <c r="H102" s="0" t="s">
        <v>3649</v>
      </c>
      <c r="I102" s="0" t="s">
        <v>3650</v>
      </c>
      <c r="J102" s="0" t="s">
        <v>156</v>
      </c>
      <c r="K102" s="0" t="s">
        <v>3651</v>
      </c>
      <c r="L102" s="0" t="s">
        <v>3651</v>
      </c>
      <c r="M102" s="0" t="s">
        <v>3652</v>
      </c>
      <c r="N102" s="0" t="s">
        <v>3653</v>
      </c>
      <c r="O102" s="0" t="s">
        <v>3654</v>
      </c>
      <c r="P102" s="0" t="s">
        <v>3119</v>
      </c>
      <c r="R102" s="0" t="b">
        <v>1</v>
      </c>
      <c r="S102" s="0" t="s">
        <v>3804</v>
      </c>
    </row>
    <row customHeight="1" ht="11.25">
      <c r="A103" s="0">
        <v>2640</v>
      </c>
      <c r="B103" s="0" t="s">
        <v>114</v>
      </c>
      <c r="C103" s="0">
        <v>26375422</v>
      </c>
      <c r="D103" s="0" t="s">
        <v>3859</v>
      </c>
      <c r="E103" s="0" t="s">
        <v>3860</v>
      </c>
      <c r="F103" s="0" t="s">
        <v>3861</v>
      </c>
      <c r="G103" s="0" t="s">
        <v>3273</v>
      </c>
      <c r="H103" s="0" t="s">
        <v>3862</v>
      </c>
      <c r="I103" s="0" t="s">
        <v>3863</v>
      </c>
      <c r="J103" s="0" t="s">
        <v>156</v>
      </c>
      <c r="K103" s="0" t="s">
        <v>3864</v>
      </c>
      <c r="L103" s="0" t="s">
        <v>3864</v>
      </c>
      <c r="M103" s="0" t="s">
        <v>3865</v>
      </c>
      <c r="N103" s="0" t="s">
        <v>3866</v>
      </c>
      <c r="O103" s="0" t="s">
        <v>3867</v>
      </c>
      <c r="P103" s="0" t="s">
        <v>179</v>
      </c>
      <c r="Q103" s="0" t="s">
        <v>3868</v>
      </c>
      <c r="R103" s="0" t="b">
        <v>0</v>
      </c>
      <c r="S103" s="0" t="s">
        <v>3804</v>
      </c>
    </row>
    <row customHeight="1" ht="11.25">
      <c r="A104" s="0">
        <v>2640</v>
      </c>
      <c r="B104" s="0" t="s">
        <v>114</v>
      </c>
      <c r="C104" s="0">
        <v>31361834</v>
      </c>
      <c r="D104" s="0" t="s">
        <v>3675</v>
      </c>
      <c r="E104" s="0" t="s">
        <v>3676</v>
      </c>
      <c r="F104" s="0" t="s">
        <v>3677</v>
      </c>
      <c r="G104" s="0" t="s">
        <v>3184</v>
      </c>
      <c r="H104" s="0" t="s">
        <v>3678</v>
      </c>
      <c r="I104" s="0" t="s">
        <v>3679</v>
      </c>
      <c r="J104" s="0" t="s">
        <v>156</v>
      </c>
      <c r="K104" s="0" t="s">
        <v>3680</v>
      </c>
      <c r="L104" s="0" t="s">
        <v>3680</v>
      </c>
      <c r="M104" s="0" t="s">
        <v>3681</v>
      </c>
      <c r="O104" s="0" t="s">
        <v>179</v>
      </c>
      <c r="P104" s="0" t="s">
        <v>3682</v>
      </c>
      <c r="R104" s="0" t="b">
        <v>1</v>
      </c>
      <c r="S104" s="0" t="s">
        <v>3804</v>
      </c>
    </row>
    <row customHeight="1" ht="11.25">
      <c r="A105" s="0">
        <v>2640</v>
      </c>
      <c r="B105" s="0" t="s">
        <v>114</v>
      </c>
      <c r="C105" s="0">
        <v>31808365</v>
      </c>
      <c r="D105" s="0" t="s">
        <v>3869</v>
      </c>
      <c r="E105" s="0" t="s">
        <v>3870</v>
      </c>
      <c r="F105" s="0" t="s">
        <v>3871</v>
      </c>
      <c r="G105" s="0" t="s">
        <v>3321</v>
      </c>
      <c r="H105" s="0" t="s">
        <v>3872</v>
      </c>
      <c r="I105" s="0" t="s">
        <v>3873</v>
      </c>
      <c r="K105" s="0" t="s">
        <v>3874</v>
      </c>
      <c r="L105" s="0" t="s">
        <v>3874</v>
      </c>
      <c r="M105" s="0" t="s">
        <v>3875</v>
      </c>
      <c r="N105" s="0" t="s">
        <v>3876</v>
      </c>
      <c r="O105" s="0" t="s">
        <v>3877</v>
      </c>
      <c r="P105" s="0" t="s">
        <v>179</v>
      </c>
      <c r="Q105" s="0" t="s">
        <v>242</v>
      </c>
      <c r="R105" s="0" t="b">
        <v>0</v>
      </c>
      <c r="S105" s="0" t="s">
        <v>3804</v>
      </c>
    </row>
    <row customHeight="1" ht="11.25">
      <c r="A106" s="0">
        <v>2640</v>
      </c>
      <c r="B106" s="0" t="s">
        <v>114</v>
      </c>
      <c r="C106" s="0">
        <v>31476622</v>
      </c>
      <c r="D106" s="0" t="s">
        <v>3692</v>
      </c>
      <c r="E106" s="0" t="s">
        <v>3693</v>
      </c>
      <c r="F106" s="0" t="s">
        <v>3694</v>
      </c>
      <c r="G106" s="0" t="s">
        <v>3172</v>
      </c>
      <c r="H106" s="0" t="s">
        <v>3695</v>
      </c>
      <c r="J106" s="0" t="s">
        <v>156</v>
      </c>
      <c r="K106" s="0" t="s">
        <v>3696</v>
      </c>
      <c r="L106" s="0" t="s">
        <v>3696</v>
      </c>
      <c r="M106" s="0" t="s">
        <v>3697</v>
      </c>
      <c r="N106" s="0" t="s">
        <v>3698</v>
      </c>
      <c r="O106" s="0" t="s">
        <v>3699</v>
      </c>
      <c r="P106" s="0" t="s">
        <v>3119</v>
      </c>
      <c r="R106" s="0" t="b">
        <v>0</v>
      </c>
      <c r="S106" s="0" t="s">
        <v>3804</v>
      </c>
    </row>
    <row customHeight="1" ht="11.25">
      <c r="A107" s="0">
        <v>2640</v>
      </c>
      <c r="B107" s="0" t="s">
        <v>114</v>
      </c>
      <c r="C107" s="0">
        <v>26647134</v>
      </c>
      <c r="D107" s="0" t="s">
        <v>3700</v>
      </c>
      <c r="E107" s="0" t="s">
        <v>3701</v>
      </c>
      <c r="F107" s="0" t="s">
        <v>3702</v>
      </c>
      <c r="G107" s="0" t="s">
        <v>3184</v>
      </c>
      <c r="H107" s="0" t="s">
        <v>3703</v>
      </c>
      <c r="I107" s="0" t="s">
        <v>3704</v>
      </c>
      <c r="J107" s="0" t="s">
        <v>156</v>
      </c>
      <c r="K107" s="0" t="s">
        <v>3705</v>
      </c>
      <c r="L107" s="0" t="s">
        <v>3705</v>
      </c>
      <c r="M107" s="0" t="s">
        <v>3706</v>
      </c>
      <c r="N107" s="0" t="s">
        <v>3707</v>
      </c>
      <c r="O107" s="0" t="s">
        <v>3708</v>
      </c>
      <c r="P107" s="0" t="s">
        <v>179</v>
      </c>
      <c r="Q107" s="0" t="s">
        <v>190</v>
      </c>
      <c r="R107" s="0" t="b">
        <v>1</v>
      </c>
      <c r="S107" s="0" t="s">
        <v>3804</v>
      </c>
    </row>
    <row customHeight="1" ht="11.25">
      <c r="A108" s="0">
        <v>2640</v>
      </c>
      <c r="B108" s="0" t="s">
        <v>114</v>
      </c>
      <c r="C108" s="0">
        <v>30432724</v>
      </c>
      <c r="D108" s="0" t="s">
        <v>3709</v>
      </c>
      <c r="E108" s="0" t="s">
        <v>3710</v>
      </c>
      <c r="F108" s="0" t="s">
        <v>3711</v>
      </c>
      <c r="G108" s="0" t="s">
        <v>3172</v>
      </c>
      <c r="H108" s="0" t="s">
        <v>3712</v>
      </c>
      <c r="I108" s="0" t="s">
        <v>3713</v>
      </c>
      <c r="J108" s="0" t="s">
        <v>156</v>
      </c>
      <c r="K108" s="0" t="s">
        <v>3714</v>
      </c>
      <c r="L108" s="0" t="s">
        <v>3714</v>
      </c>
      <c r="M108" s="0" t="s">
        <v>3715</v>
      </c>
      <c r="N108" s="0" t="s">
        <v>3716</v>
      </c>
      <c r="O108" s="0" t="s">
        <v>3717</v>
      </c>
      <c r="P108" s="0" t="s">
        <v>3119</v>
      </c>
      <c r="Q108" s="0" t="s">
        <v>3718</v>
      </c>
      <c r="R108" s="0" t="b">
        <v>0</v>
      </c>
      <c r="S108" s="0" t="s">
        <v>3804</v>
      </c>
    </row>
    <row customHeight="1" ht="11.25">
      <c r="A109" s="0">
        <v>2640</v>
      </c>
      <c r="B109" s="0" t="s">
        <v>114</v>
      </c>
      <c r="C109" s="0">
        <v>27627166</v>
      </c>
      <c r="D109" s="0" t="s">
        <v>3719</v>
      </c>
      <c r="E109" s="0" t="s">
        <v>3720</v>
      </c>
      <c r="F109" s="0" t="s">
        <v>3721</v>
      </c>
      <c r="G109" s="0" t="s">
        <v>3722</v>
      </c>
      <c r="H109" s="0" t="s">
        <v>3723</v>
      </c>
      <c r="I109" s="0" t="s">
        <v>3724</v>
      </c>
      <c r="J109" s="0" t="s">
        <v>156</v>
      </c>
      <c r="K109" s="0" t="s">
        <v>3725</v>
      </c>
      <c r="L109" s="0" t="s">
        <v>3726</v>
      </c>
      <c r="M109" s="0" t="s">
        <v>3727</v>
      </c>
      <c r="N109" s="0" t="s">
        <v>3728</v>
      </c>
      <c r="O109" s="0" t="s">
        <v>3729</v>
      </c>
      <c r="P109" s="0" t="s">
        <v>3119</v>
      </c>
      <c r="Q109" s="0" t="s">
        <v>3730</v>
      </c>
      <c r="R109" s="0" t="b">
        <v>0</v>
      </c>
      <c r="S109" s="0" t="s">
        <v>3804</v>
      </c>
    </row>
    <row customHeight="1" ht="11.25">
      <c r="A110" s="0">
        <v>2640</v>
      </c>
      <c r="B110" s="0" t="s">
        <v>114</v>
      </c>
      <c r="C110" s="0">
        <v>26407514</v>
      </c>
      <c r="D110" s="0" t="s">
        <v>3753</v>
      </c>
      <c r="E110" s="0" t="s">
        <v>3754</v>
      </c>
      <c r="F110" s="0" t="s">
        <v>3755</v>
      </c>
      <c r="G110" s="0" t="s">
        <v>3160</v>
      </c>
      <c r="H110" s="0" t="s">
        <v>3756</v>
      </c>
      <c r="I110" s="0" t="s">
        <v>3757</v>
      </c>
      <c r="J110" s="0" t="s">
        <v>3294</v>
      </c>
      <c r="K110" s="0" t="s">
        <v>3758</v>
      </c>
      <c r="L110" s="0" t="s">
        <v>3758</v>
      </c>
      <c r="M110" s="0" t="s">
        <v>3759</v>
      </c>
      <c r="N110" s="0" t="s">
        <v>3760</v>
      </c>
      <c r="O110" s="0" t="s">
        <v>3761</v>
      </c>
      <c r="P110" s="0" t="s">
        <v>179</v>
      </c>
      <c r="Q110" s="0" t="s">
        <v>3762</v>
      </c>
      <c r="R110" s="0" t="b">
        <v>0</v>
      </c>
      <c r="S110" s="0" t="s">
        <v>3804</v>
      </c>
    </row>
    <row customHeight="1" ht="11.25">
      <c r="A111" s="0">
        <v>2640</v>
      </c>
      <c r="B111" s="0" t="s">
        <v>114</v>
      </c>
      <c r="C111" s="0">
        <v>31529732</v>
      </c>
      <c r="D111" s="0" t="s">
        <v>3763</v>
      </c>
      <c r="E111" s="0" t="s">
        <v>3764</v>
      </c>
      <c r="F111" s="0" t="s">
        <v>3765</v>
      </c>
      <c r="G111" s="0" t="s">
        <v>3766</v>
      </c>
      <c r="H111" s="0" t="s">
        <v>3767</v>
      </c>
      <c r="I111" s="0" t="s">
        <v>3768</v>
      </c>
      <c r="K111" s="0" t="s">
        <v>3769</v>
      </c>
      <c r="L111" s="0" t="s">
        <v>3770</v>
      </c>
      <c r="O111" s="0" t="s">
        <v>3771</v>
      </c>
      <c r="P111" s="0" t="s">
        <v>179</v>
      </c>
      <c r="R111" s="0" t="b">
        <v>0</v>
      </c>
      <c r="S111" s="0" t="s">
        <v>3804</v>
      </c>
    </row>
    <row customHeight="1" ht="11.25">
      <c r="A112" s="0">
        <v>2640</v>
      </c>
      <c r="B112" s="0" t="s">
        <v>114</v>
      </c>
      <c r="C112" s="0">
        <v>26359393</v>
      </c>
      <c r="D112" s="0" t="s">
        <v>3782</v>
      </c>
      <c r="E112" s="0" t="s">
        <v>3783</v>
      </c>
      <c r="F112" s="0" t="s">
        <v>3784</v>
      </c>
      <c r="G112" s="0" t="s">
        <v>3785</v>
      </c>
      <c r="H112" s="0" t="s">
        <v>3786</v>
      </c>
      <c r="I112" s="0" t="s">
        <v>3787</v>
      </c>
      <c r="J112" s="0" t="s">
        <v>3127</v>
      </c>
      <c r="K112" s="0" t="s">
        <v>3788</v>
      </c>
      <c r="L112" s="0" t="s">
        <v>3788</v>
      </c>
      <c r="M112" s="0" t="s">
        <v>3789</v>
      </c>
      <c r="N112" s="0" t="s">
        <v>3790</v>
      </c>
      <c r="O112" s="0" t="s">
        <v>3791</v>
      </c>
      <c r="P112" s="0" t="s">
        <v>179</v>
      </c>
      <c r="Q112" s="0" t="s">
        <v>3792</v>
      </c>
      <c r="R112" s="0" t="b">
        <v>0</v>
      </c>
      <c r="S112" s="0" t="s">
        <v>3804</v>
      </c>
    </row>
    <row customHeight="1" ht="11.25">
      <c r="A113" s="0">
        <v>2640</v>
      </c>
      <c r="B113" s="0" t="s">
        <v>114</v>
      </c>
      <c r="C113" s="0">
        <v>30914574</v>
      </c>
      <c r="D113" s="0" t="s">
        <v>3793</v>
      </c>
      <c r="E113" s="0" t="s">
        <v>3794</v>
      </c>
      <c r="F113" s="0" t="s">
        <v>3795</v>
      </c>
      <c r="G113" s="0" t="s">
        <v>3796</v>
      </c>
      <c r="H113" s="0" t="s">
        <v>3797</v>
      </c>
      <c r="I113" s="0" t="s">
        <v>3798</v>
      </c>
      <c r="J113" s="0" t="s">
        <v>3777</v>
      </c>
      <c r="L113" s="0" t="s">
        <v>3799</v>
      </c>
      <c r="M113" s="0" t="s">
        <v>3800</v>
      </c>
      <c r="N113" s="0" t="s">
        <v>3801</v>
      </c>
      <c r="O113" s="0" t="s">
        <v>3802</v>
      </c>
      <c r="P113" s="0" t="s">
        <v>3803</v>
      </c>
      <c r="R113" s="0" t="b">
        <v>0</v>
      </c>
      <c r="S113" s="0" t="s">
        <v>3804</v>
      </c>
    </row>
    <row customHeight="1" ht="11.25">
      <c r="A114" s="0">
        <v>2640</v>
      </c>
      <c r="B114" s="0" t="s">
        <v>114</v>
      </c>
      <c r="C114" s="0">
        <v>26319988</v>
      </c>
      <c r="D114" s="0" t="s">
        <v>3122</v>
      </c>
      <c r="E114" s="0" t="s">
        <v>3123</v>
      </c>
      <c r="F114" s="0" t="s">
        <v>3124</v>
      </c>
      <c r="G114" s="0" t="s">
        <v>149</v>
      </c>
      <c r="H114" s="0" t="s">
        <v>3125</v>
      </c>
      <c r="I114" s="0" t="s">
        <v>3126</v>
      </c>
      <c r="J114" s="0" t="s">
        <v>3127</v>
      </c>
      <c r="K114" s="0" t="s">
        <v>3128</v>
      </c>
      <c r="L114" s="0" t="s">
        <v>3128</v>
      </c>
      <c r="M114" s="0" t="s">
        <v>3129</v>
      </c>
      <c r="N114" s="0" t="s">
        <v>3130</v>
      </c>
      <c r="O114" s="0" t="s">
        <v>3131</v>
      </c>
      <c r="P114" s="0" t="s">
        <v>179</v>
      </c>
      <c r="Q114" s="0" t="s">
        <v>3132</v>
      </c>
      <c r="R114" s="0" t="b">
        <v>0</v>
      </c>
      <c r="S114" s="0" t="s">
        <v>3878</v>
      </c>
    </row>
    <row customHeight="1" ht="11.25">
      <c r="A115" s="0">
        <v>2640</v>
      </c>
      <c r="B115" s="0" t="s">
        <v>114</v>
      </c>
      <c r="C115" s="0">
        <v>26381367</v>
      </c>
      <c r="D115" s="0" t="s">
        <v>3133</v>
      </c>
      <c r="E115" s="0" t="s">
        <v>3134</v>
      </c>
      <c r="F115" s="0" t="s">
        <v>3135</v>
      </c>
      <c r="G115" s="0" t="s">
        <v>3136</v>
      </c>
      <c r="H115" s="0" t="s">
        <v>3137</v>
      </c>
      <c r="I115" s="0" t="s">
        <v>3138</v>
      </c>
      <c r="J115" s="0" t="s">
        <v>3139</v>
      </c>
      <c r="K115" s="0" t="s">
        <v>3140</v>
      </c>
      <c r="L115" s="0" t="s">
        <v>3140</v>
      </c>
      <c r="M115" s="0" t="s">
        <v>3141</v>
      </c>
      <c r="N115" s="0" t="s">
        <v>3142</v>
      </c>
      <c r="O115" s="0" t="s">
        <v>3143</v>
      </c>
      <c r="P115" s="0" t="s">
        <v>3144</v>
      </c>
      <c r="Q115" s="0" t="s">
        <v>3145</v>
      </c>
      <c r="R115" s="0" t="b">
        <v>0</v>
      </c>
      <c r="S115" s="0" t="s">
        <v>3878</v>
      </c>
    </row>
    <row customHeight="1" ht="11.25">
      <c r="A116" s="0">
        <v>2640</v>
      </c>
      <c r="B116" s="0" t="s">
        <v>114</v>
      </c>
      <c r="C116" s="0">
        <v>28447680</v>
      </c>
      <c r="D116" s="0" t="s">
        <v>3879</v>
      </c>
      <c r="E116" s="0" t="s">
        <v>3880</v>
      </c>
      <c r="F116" s="0" t="s">
        <v>3881</v>
      </c>
      <c r="G116" s="0" t="s">
        <v>3381</v>
      </c>
      <c r="H116" s="0" t="s">
        <v>3882</v>
      </c>
      <c r="I116" s="0" t="s">
        <v>3883</v>
      </c>
      <c r="J116" s="0" t="s">
        <v>3139</v>
      </c>
      <c r="L116" s="0" t="s">
        <v>3884</v>
      </c>
      <c r="M116" s="0" t="s">
        <v>3885</v>
      </c>
      <c r="N116" s="0" t="s">
        <v>3886</v>
      </c>
      <c r="O116" s="0" t="s">
        <v>3887</v>
      </c>
      <c r="P116" s="0" t="s">
        <v>179</v>
      </c>
      <c r="Q116" s="0" t="s">
        <v>190</v>
      </c>
      <c r="R116" s="0" t="b">
        <v>0</v>
      </c>
      <c r="S116" s="0" t="s">
        <v>3878</v>
      </c>
    </row>
    <row customHeight="1" ht="11.25">
      <c r="A117" s="0">
        <v>2640</v>
      </c>
      <c r="B117" s="0" t="s">
        <v>114</v>
      </c>
      <c r="C117" s="0">
        <v>30435810</v>
      </c>
      <c r="D117" s="0" t="s">
        <v>3888</v>
      </c>
      <c r="E117" s="0" t="s">
        <v>3889</v>
      </c>
      <c r="F117" s="0" t="s">
        <v>3890</v>
      </c>
      <c r="G117" s="0" t="s">
        <v>3160</v>
      </c>
      <c r="H117" s="0" t="s">
        <v>3891</v>
      </c>
      <c r="I117" s="0" t="s">
        <v>3892</v>
      </c>
      <c r="J117" s="0" t="s">
        <v>3139</v>
      </c>
      <c r="K117" s="0" t="s">
        <v>3893</v>
      </c>
      <c r="L117" s="0" t="s">
        <v>3893</v>
      </c>
      <c r="M117" s="0" t="s">
        <v>3894</v>
      </c>
      <c r="N117" s="0" t="s">
        <v>3895</v>
      </c>
      <c r="O117" s="0" t="s">
        <v>3896</v>
      </c>
      <c r="P117" s="0" t="s">
        <v>3119</v>
      </c>
      <c r="Q117" s="0" t="s">
        <v>3897</v>
      </c>
      <c r="R117" s="0" t="b">
        <v>0</v>
      </c>
      <c r="S117" s="0" t="s">
        <v>3878</v>
      </c>
    </row>
    <row customHeight="1" ht="11.25">
      <c r="A118" s="0">
        <v>2640</v>
      </c>
      <c r="B118" s="0" t="s">
        <v>114</v>
      </c>
      <c r="C118" s="0">
        <v>26319965</v>
      </c>
      <c r="D118" s="0" t="s">
        <v>3898</v>
      </c>
      <c r="E118" s="0" t="s">
        <v>3899</v>
      </c>
      <c r="F118" s="0" t="s">
        <v>3900</v>
      </c>
      <c r="G118" s="0" t="s">
        <v>3136</v>
      </c>
      <c r="H118" s="0" t="s">
        <v>3901</v>
      </c>
      <c r="I118" s="0" t="s">
        <v>3902</v>
      </c>
      <c r="J118" s="0" t="s">
        <v>3139</v>
      </c>
      <c r="K118" s="0" t="s">
        <v>3903</v>
      </c>
      <c r="L118" s="0" t="s">
        <v>3903</v>
      </c>
      <c r="M118" s="0" t="s">
        <v>3904</v>
      </c>
      <c r="N118" s="0" t="s">
        <v>3905</v>
      </c>
      <c r="O118" s="0" t="s">
        <v>3906</v>
      </c>
      <c r="P118" s="0" t="s">
        <v>3119</v>
      </c>
      <c r="Q118" s="0" t="s">
        <v>3907</v>
      </c>
      <c r="R118" s="0" t="b">
        <v>0</v>
      </c>
      <c r="S118" s="0" t="s">
        <v>3878</v>
      </c>
    </row>
    <row customHeight="1" ht="11.25">
      <c r="A119" s="0">
        <v>2640</v>
      </c>
      <c r="B119" s="0" t="s">
        <v>114</v>
      </c>
      <c r="C119" s="0">
        <v>26375468</v>
      </c>
      <c r="D119" s="0" t="s">
        <v>3908</v>
      </c>
      <c r="E119" s="0" t="s">
        <v>3909</v>
      </c>
      <c r="F119" s="0" t="s">
        <v>3910</v>
      </c>
      <c r="G119" s="0" t="s">
        <v>3911</v>
      </c>
      <c r="H119" s="0" t="s">
        <v>3912</v>
      </c>
      <c r="I119" s="0" t="s">
        <v>3913</v>
      </c>
      <c r="J119" s="0" t="s">
        <v>3139</v>
      </c>
      <c r="K119" s="0" t="s">
        <v>3914</v>
      </c>
      <c r="L119" s="0" t="s">
        <v>3914</v>
      </c>
      <c r="M119" s="0" t="s">
        <v>3915</v>
      </c>
      <c r="N119" s="0" t="s">
        <v>3916</v>
      </c>
      <c r="O119" s="0" t="s">
        <v>3917</v>
      </c>
      <c r="P119" s="0" t="s">
        <v>3918</v>
      </c>
      <c r="Q119" s="0" t="s">
        <v>3919</v>
      </c>
      <c r="R119" s="0" t="b">
        <v>0</v>
      </c>
      <c r="S119" s="0" t="s">
        <v>3878</v>
      </c>
    </row>
    <row customHeight="1" ht="11.25">
      <c r="A120" s="0">
        <v>2640</v>
      </c>
      <c r="B120" s="0" t="s">
        <v>114</v>
      </c>
      <c r="C120" s="0">
        <v>26375481</v>
      </c>
      <c r="D120" s="0" t="s">
        <v>3814</v>
      </c>
      <c r="E120" s="0" t="s">
        <v>3815</v>
      </c>
      <c r="F120" s="0" t="s">
        <v>3816</v>
      </c>
      <c r="G120" s="0" t="s">
        <v>3184</v>
      </c>
      <c r="H120" s="0" t="s">
        <v>3817</v>
      </c>
      <c r="I120" s="0" t="s">
        <v>3818</v>
      </c>
      <c r="J120" s="0" t="s">
        <v>3127</v>
      </c>
      <c r="K120" s="0" t="s">
        <v>3819</v>
      </c>
      <c r="L120" s="0" t="s">
        <v>3819</v>
      </c>
      <c r="M120" s="0" t="s">
        <v>3820</v>
      </c>
      <c r="N120" s="0" t="s">
        <v>3821</v>
      </c>
      <c r="O120" s="0" t="s">
        <v>3167</v>
      </c>
      <c r="P120" s="0" t="s">
        <v>3119</v>
      </c>
      <c r="Q120" s="0" t="s">
        <v>3822</v>
      </c>
      <c r="R120" s="0" t="b">
        <v>0</v>
      </c>
      <c r="S120" s="0" t="s">
        <v>3878</v>
      </c>
    </row>
    <row customHeight="1" ht="11.25">
      <c r="A121" s="0">
        <v>2640</v>
      </c>
      <c r="B121" s="0" t="s">
        <v>114</v>
      </c>
      <c r="C121" s="0">
        <v>30370886</v>
      </c>
      <c r="D121" s="0" t="s">
        <v>3920</v>
      </c>
      <c r="E121" s="0" t="s">
        <v>3921</v>
      </c>
      <c r="F121" s="0" t="s">
        <v>3922</v>
      </c>
      <c r="G121" s="0" t="s">
        <v>3291</v>
      </c>
      <c r="H121" s="0" t="s">
        <v>3923</v>
      </c>
      <c r="I121" s="0" t="s">
        <v>3924</v>
      </c>
      <c r="J121" s="0" t="s">
        <v>3925</v>
      </c>
      <c r="M121" s="0" t="s">
        <v>3926</v>
      </c>
      <c r="O121" s="0" t="s">
        <v>3927</v>
      </c>
      <c r="P121" s="0" t="s">
        <v>3203</v>
      </c>
      <c r="R121" s="0" t="b">
        <v>1</v>
      </c>
      <c r="S121" s="0" t="s">
        <v>3878</v>
      </c>
    </row>
    <row customHeight="1" ht="11.25">
      <c r="A122" s="0">
        <v>2640</v>
      </c>
      <c r="B122" s="0" t="s">
        <v>114</v>
      </c>
      <c r="C122" s="0">
        <v>27270908</v>
      </c>
      <c r="D122" s="0" t="s">
        <v>3192</v>
      </c>
      <c r="E122" s="0" t="s">
        <v>3193</v>
      </c>
      <c r="F122" s="0" t="s">
        <v>3194</v>
      </c>
      <c r="G122" s="0" t="s">
        <v>3195</v>
      </c>
      <c r="H122" s="0" t="s">
        <v>3196</v>
      </c>
      <c r="I122" s="0" t="s">
        <v>3197</v>
      </c>
      <c r="J122" s="0" t="s">
        <v>3198</v>
      </c>
      <c r="K122" s="0" t="s">
        <v>3199</v>
      </c>
      <c r="L122" s="0" t="s">
        <v>3199</v>
      </c>
      <c r="M122" s="0" t="s">
        <v>3200</v>
      </c>
      <c r="N122" s="0" t="s">
        <v>3201</v>
      </c>
      <c r="O122" s="0" t="s">
        <v>3202</v>
      </c>
      <c r="P122" s="0" t="s">
        <v>3203</v>
      </c>
      <c r="Q122" s="0" t="s">
        <v>3204</v>
      </c>
      <c r="R122" s="0" t="b">
        <v>1</v>
      </c>
      <c r="S122" s="0" t="s">
        <v>3878</v>
      </c>
    </row>
    <row customHeight="1" ht="11.25">
      <c r="A123" s="0">
        <v>2640</v>
      </c>
      <c r="B123" s="0" t="s">
        <v>114</v>
      </c>
      <c r="C123" s="0">
        <v>26812367</v>
      </c>
      <c r="D123" s="0" t="s">
        <v>3216</v>
      </c>
      <c r="E123" s="0" t="s">
        <v>3216</v>
      </c>
      <c r="F123" s="0" t="s">
        <v>3217</v>
      </c>
      <c r="G123" s="0" t="s">
        <v>3218</v>
      </c>
      <c r="H123" s="0" t="s">
        <v>3219</v>
      </c>
      <c r="J123" s="0" t="s">
        <v>3127</v>
      </c>
      <c r="K123" s="0" t="s">
        <v>3220</v>
      </c>
      <c r="L123" s="0" t="s">
        <v>3221</v>
      </c>
      <c r="M123" s="0" t="s">
        <v>3222</v>
      </c>
      <c r="N123" s="0" t="s">
        <v>3223</v>
      </c>
      <c r="O123" s="0" t="s">
        <v>3224</v>
      </c>
      <c r="P123" s="0" t="s">
        <v>3225</v>
      </c>
      <c r="Q123" s="0" t="s">
        <v>3226</v>
      </c>
      <c r="R123" s="0" t="b">
        <v>0</v>
      </c>
      <c r="S123" s="0" t="s">
        <v>3878</v>
      </c>
    </row>
    <row customHeight="1" ht="11.25">
      <c r="A124" s="0">
        <v>2640</v>
      </c>
      <c r="B124" s="0" t="s">
        <v>114</v>
      </c>
      <c r="C124" s="0">
        <v>26355818</v>
      </c>
      <c r="D124" s="0" t="s">
        <v>3227</v>
      </c>
      <c r="E124" s="0" t="s">
        <v>3228</v>
      </c>
      <c r="F124" s="0" t="s">
        <v>3229</v>
      </c>
      <c r="G124" s="0" t="s">
        <v>3230</v>
      </c>
      <c r="H124" s="0" t="s">
        <v>3231</v>
      </c>
      <c r="I124" s="0" t="s">
        <v>3232</v>
      </c>
      <c r="J124" s="0" t="s">
        <v>3139</v>
      </c>
      <c r="K124" s="0" t="s">
        <v>3233</v>
      </c>
      <c r="L124" s="0" t="s">
        <v>3234</v>
      </c>
      <c r="M124" s="0" t="s">
        <v>3235</v>
      </c>
      <c r="N124" s="0" t="s">
        <v>3236</v>
      </c>
      <c r="O124" s="0" t="s">
        <v>3237</v>
      </c>
      <c r="P124" s="0" t="s">
        <v>3119</v>
      </c>
      <c r="Q124" s="0" t="s">
        <v>190</v>
      </c>
      <c r="R124" s="0" t="b">
        <v>0</v>
      </c>
      <c r="S124" s="0" t="s">
        <v>3878</v>
      </c>
    </row>
    <row customHeight="1" ht="11.25">
      <c r="A125" s="0">
        <v>2640</v>
      </c>
      <c r="B125" s="0" t="s">
        <v>114</v>
      </c>
      <c r="C125" s="0">
        <v>30847016</v>
      </c>
      <c r="D125" s="0" t="s">
        <v>3238</v>
      </c>
      <c r="E125" s="0" t="s">
        <v>3238</v>
      </c>
      <c r="F125" s="0" t="s">
        <v>3229</v>
      </c>
      <c r="G125" s="0" t="s">
        <v>3239</v>
      </c>
      <c r="H125" s="0" t="s">
        <v>3231</v>
      </c>
      <c r="J125" s="0" t="s">
        <v>3139</v>
      </c>
      <c r="O125" s="0" t="s">
        <v>3240</v>
      </c>
      <c r="P125" s="0" t="s">
        <v>3241</v>
      </c>
      <c r="R125" s="0" t="b">
        <v>0</v>
      </c>
      <c r="S125" s="0" t="s">
        <v>3878</v>
      </c>
    </row>
    <row customHeight="1" ht="11.25">
      <c r="A126" s="0">
        <v>2640</v>
      </c>
      <c r="B126" s="0" t="s">
        <v>114</v>
      </c>
      <c r="C126" s="0">
        <v>28819822</v>
      </c>
      <c r="D126" s="0" t="s">
        <v>3928</v>
      </c>
      <c r="E126" s="0" t="s">
        <v>3929</v>
      </c>
      <c r="F126" s="0" t="s">
        <v>3930</v>
      </c>
      <c r="G126" s="0" t="s">
        <v>3931</v>
      </c>
      <c r="H126" s="0" t="s">
        <v>3932</v>
      </c>
      <c r="I126" s="0" t="s">
        <v>3933</v>
      </c>
      <c r="J126" s="0" t="s">
        <v>3934</v>
      </c>
      <c r="K126" s="0" t="s">
        <v>3935</v>
      </c>
      <c r="L126" s="0" t="s">
        <v>3935</v>
      </c>
      <c r="M126" s="0" t="s">
        <v>3936</v>
      </c>
      <c r="N126" s="0" t="s">
        <v>3937</v>
      </c>
      <c r="O126" s="0" t="s">
        <v>3938</v>
      </c>
      <c r="P126" s="0" t="s">
        <v>179</v>
      </c>
      <c r="Q126" s="0" t="s">
        <v>190</v>
      </c>
      <c r="R126" s="0" t="b">
        <v>0</v>
      </c>
      <c r="S126" s="0" t="s">
        <v>3878</v>
      </c>
    </row>
    <row customHeight="1" ht="11.25">
      <c r="A127" s="0">
        <v>2640</v>
      </c>
      <c r="B127" s="0" t="s">
        <v>114</v>
      </c>
      <c r="C127" s="0">
        <v>31047224</v>
      </c>
      <c r="D127" s="0" t="s">
        <v>3939</v>
      </c>
      <c r="E127" s="0" t="s">
        <v>3940</v>
      </c>
      <c r="F127" s="0" t="s">
        <v>3941</v>
      </c>
      <c r="G127" s="0" t="s">
        <v>3273</v>
      </c>
      <c r="H127" s="0" t="s">
        <v>3942</v>
      </c>
      <c r="I127" s="0" t="s">
        <v>3943</v>
      </c>
      <c r="J127" s="0" t="s">
        <v>3934</v>
      </c>
      <c r="K127" s="0" t="s">
        <v>3944</v>
      </c>
      <c r="L127" s="0" t="s">
        <v>3944</v>
      </c>
      <c r="M127" s="0" t="s">
        <v>3945</v>
      </c>
      <c r="N127" s="0" t="s">
        <v>3946</v>
      </c>
      <c r="O127" s="0" t="s">
        <v>3947</v>
      </c>
      <c r="P127" s="0" t="s">
        <v>179</v>
      </c>
      <c r="Q127" s="0" t="s">
        <v>190</v>
      </c>
      <c r="R127" s="0" t="b">
        <v>1</v>
      </c>
      <c r="S127" s="0" t="s">
        <v>3878</v>
      </c>
    </row>
    <row customHeight="1" ht="11.25">
      <c r="A128" s="0">
        <v>2640</v>
      </c>
      <c r="B128" s="0" t="s">
        <v>114</v>
      </c>
      <c r="C128" s="0">
        <v>29645731</v>
      </c>
      <c r="D128" s="0" t="s">
        <v>3948</v>
      </c>
      <c r="E128" s="0" t="s">
        <v>3949</v>
      </c>
      <c r="F128" s="0" t="s">
        <v>3950</v>
      </c>
      <c r="G128" s="0" t="s">
        <v>3263</v>
      </c>
      <c r="H128" s="0" t="s">
        <v>3951</v>
      </c>
      <c r="I128" s="0" t="s">
        <v>3952</v>
      </c>
      <c r="J128" s="0" t="s">
        <v>3294</v>
      </c>
      <c r="K128" s="0" t="s">
        <v>3953</v>
      </c>
      <c r="L128" s="0" t="s">
        <v>3953</v>
      </c>
      <c r="M128" s="0" t="s">
        <v>3954</v>
      </c>
      <c r="N128" s="0" t="s">
        <v>3955</v>
      </c>
      <c r="O128" s="0" t="s">
        <v>3956</v>
      </c>
      <c r="P128" s="0" t="s">
        <v>3957</v>
      </c>
      <c r="Q128" s="0" t="s">
        <v>190</v>
      </c>
      <c r="R128" s="0" t="b">
        <v>1</v>
      </c>
      <c r="S128" s="0" t="s">
        <v>3878</v>
      </c>
    </row>
    <row customHeight="1" ht="11.25">
      <c r="A129" s="0">
        <v>2640</v>
      </c>
      <c r="B129" s="0" t="s">
        <v>114</v>
      </c>
      <c r="C129" s="0">
        <v>27841600</v>
      </c>
      <c r="D129" s="0" t="s">
        <v>3958</v>
      </c>
      <c r="E129" s="0" t="s">
        <v>3959</v>
      </c>
      <c r="F129" s="0" t="s">
        <v>3960</v>
      </c>
      <c r="G129" s="0" t="s">
        <v>3961</v>
      </c>
      <c r="H129" s="0" t="s">
        <v>3962</v>
      </c>
      <c r="I129" s="0" t="s">
        <v>3963</v>
      </c>
      <c r="J129" s="0" t="s">
        <v>3294</v>
      </c>
      <c r="K129" s="0" t="s">
        <v>3964</v>
      </c>
      <c r="L129" s="0" t="s">
        <v>3965</v>
      </c>
      <c r="M129" s="0" t="s">
        <v>3966</v>
      </c>
      <c r="N129" s="0" t="s">
        <v>3967</v>
      </c>
      <c r="O129" s="0" t="s">
        <v>3968</v>
      </c>
      <c r="P129" s="0" t="s">
        <v>179</v>
      </c>
      <c r="Q129" s="0" t="s">
        <v>3969</v>
      </c>
      <c r="R129" s="0" t="b">
        <v>0</v>
      </c>
      <c r="S129" s="0" t="s">
        <v>3878</v>
      </c>
    </row>
    <row customHeight="1" ht="11.25">
      <c r="A130" s="0">
        <v>2640</v>
      </c>
      <c r="B130" s="0" t="s">
        <v>114</v>
      </c>
      <c r="C130" s="0">
        <v>31047268</v>
      </c>
      <c r="D130" s="0" t="s">
        <v>3970</v>
      </c>
      <c r="E130" s="0" t="s">
        <v>3971</v>
      </c>
      <c r="F130" s="0" t="s">
        <v>3972</v>
      </c>
      <c r="G130" s="0" t="s">
        <v>3961</v>
      </c>
      <c r="H130" s="0" t="s">
        <v>3973</v>
      </c>
      <c r="I130" s="0" t="s">
        <v>3974</v>
      </c>
      <c r="J130" s="0" t="s">
        <v>3294</v>
      </c>
      <c r="K130" s="0" t="s">
        <v>3975</v>
      </c>
      <c r="L130" s="0" t="s">
        <v>3975</v>
      </c>
      <c r="M130" s="0" t="s">
        <v>3976</v>
      </c>
      <c r="N130" s="0" t="s">
        <v>3977</v>
      </c>
      <c r="O130" s="0" t="s">
        <v>3978</v>
      </c>
      <c r="P130" s="0" t="s">
        <v>179</v>
      </c>
      <c r="R130" s="0" t="b">
        <v>0</v>
      </c>
      <c r="S130" s="0" t="s">
        <v>3878</v>
      </c>
    </row>
    <row customHeight="1" ht="11.25">
      <c r="A131" s="0">
        <v>2640</v>
      </c>
      <c r="B131" s="0" t="s">
        <v>114</v>
      </c>
      <c r="C131" s="0">
        <v>26526858</v>
      </c>
      <c r="D131" s="0" t="s">
        <v>3979</v>
      </c>
      <c r="E131" s="0" t="s">
        <v>3980</v>
      </c>
      <c r="F131" s="0" t="s">
        <v>3981</v>
      </c>
      <c r="G131" s="0" t="s">
        <v>3263</v>
      </c>
      <c r="H131" s="0" t="s">
        <v>3982</v>
      </c>
      <c r="I131" s="0" t="s">
        <v>3983</v>
      </c>
      <c r="J131" s="0" t="s">
        <v>3294</v>
      </c>
      <c r="K131" s="0" t="s">
        <v>3984</v>
      </c>
      <c r="L131" s="0" t="s">
        <v>3984</v>
      </c>
      <c r="M131" s="0" t="s">
        <v>3985</v>
      </c>
      <c r="N131" s="0" t="s">
        <v>3986</v>
      </c>
      <c r="O131" s="0" t="s">
        <v>3987</v>
      </c>
      <c r="P131" s="0" t="s">
        <v>179</v>
      </c>
      <c r="Q131" s="0" t="s">
        <v>190</v>
      </c>
      <c r="R131" s="0" t="b">
        <v>1</v>
      </c>
      <c r="S131" s="0" t="s">
        <v>3878</v>
      </c>
    </row>
    <row customHeight="1" ht="11.25">
      <c r="A132" s="0">
        <v>2640</v>
      </c>
      <c r="B132" s="0" t="s">
        <v>114</v>
      </c>
      <c r="C132" s="0">
        <v>31516690</v>
      </c>
      <c r="D132" s="0" t="s">
        <v>3520</v>
      </c>
      <c r="E132" s="0" t="s">
        <v>3521</v>
      </c>
      <c r="F132" s="0" t="s">
        <v>3522</v>
      </c>
      <c r="G132" s="0" t="s">
        <v>3112</v>
      </c>
      <c r="H132" s="0" t="s">
        <v>3523</v>
      </c>
      <c r="J132" s="0" t="s">
        <v>3505</v>
      </c>
      <c r="K132" s="0" t="s">
        <v>3524</v>
      </c>
      <c r="L132" s="0" t="s">
        <v>3524</v>
      </c>
      <c r="O132" s="0" t="s">
        <v>3525</v>
      </c>
      <c r="P132" s="0" t="s">
        <v>179</v>
      </c>
      <c r="R132" s="0" t="b">
        <v>0</v>
      </c>
      <c r="S132" s="0" t="s">
        <v>3878</v>
      </c>
    </row>
    <row customHeight="1" ht="11.25">
      <c r="A133" s="0">
        <v>2640</v>
      </c>
      <c r="B133" s="0" t="s">
        <v>114</v>
      </c>
      <c r="C133" s="0">
        <v>28861365</v>
      </c>
      <c r="D133" s="0" t="s">
        <v>3988</v>
      </c>
      <c r="E133" s="0" t="s">
        <v>3989</v>
      </c>
      <c r="F133" s="0" t="s">
        <v>3990</v>
      </c>
      <c r="G133" s="0" t="s">
        <v>3961</v>
      </c>
      <c r="H133" s="0" t="s">
        <v>3991</v>
      </c>
      <c r="I133" s="0" t="s">
        <v>3992</v>
      </c>
      <c r="J133" s="0" t="s">
        <v>3993</v>
      </c>
      <c r="K133" s="0" t="s">
        <v>3994</v>
      </c>
      <c r="L133" s="0" t="s">
        <v>3995</v>
      </c>
      <c r="M133" s="0" t="s">
        <v>3996</v>
      </c>
      <c r="N133" s="0" t="s">
        <v>3997</v>
      </c>
      <c r="O133" s="0" t="s">
        <v>3998</v>
      </c>
      <c r="P133" s="0" t="s">
        <v>179</v>
      </c>
      <c r="Q133" s="0" t="s">
        <v>190</v>
      </c>
      <c r="R133" s="0" t="b">
        <v>0</v>
      </c>
      <c r="S133" s="0" t="s">
        <v>3878</v>
      </c>
    </row>
    <row customHeight="1" ht="11.25">
      <c r="A134" s="0">
        <v>2640</v>
      </c>
      <c r="B134" s="0" t="s">
        <v>114</v>
      </c>
      <c r="C134" s="0">
        <v>30432718</v>
      </c>
      <c r="D134" s="0" t="s">
        <v>3535</v>
      </c>
      <c r="E134" s="0" t="s">
        <v>3536</v>
      </c>
      <c r="F134" s="0" t="s">
        <v>3537</v>
      </c>
      <c r="G134" s="0" t="s">
        <v>3538</v>
      </c>
      <c r="H134" s="0" t="s">
        <v>3539</v>
      </c>
      <c r="I134" s="0" t="s">
        <v>3540</v>
      </c>
      <c r="J134" s="0" t="s">
        <v>3541</v>
      </c>
      <c r="K134" s="0" t="s">
        <v>3542</v>
      </c>
      <c r="L134" s="0" t="s">
        <v>3542</v>
      </c>
      <c r="M134" s="0" t="s">
        <v>3543</v>
      </c>
      <c r="N134" s="0" t="s">
        <v>3544</v>
      </c>
      <c r="O134" s="0" t="s">
        <v>3545</v>
      </c>
      <c r="P134" s="0" t="s">
        <v>179</v>
      </c>
      <c r="R134" s="0" t="b">
        <v>0</v>
      </c>
      <c r="S134" s="0" t="s">
        <v>3878</v>
      </c>
    </row>
    <row customHeight="1" ht="11.25">
      <c r="A135" s="0">
        <v>2640</v>
      </c>
      <c r="B135" s="0" t="s">
        <v>114</v>
      </c>
      <c r="C135" s="0">
        <v>31434145</v>
      </c>
      <c r="D135" s="0" t="s">
        <v>3546</v>
      </c>
      <c r="E135" s="0" t="s">
        <v>3547</v>
      </c>
      <c r="F135" s="0" t="s">
        <v>3548</v>
      </c>
      <c r="G135" s="0" t="s">
        <v>3112</v>
      </c>
      <c r="H135" s="0" t="s">
        <v>3549</v>
      </c>
      <c r="I135" s="0" t="s">
        <v>3550</v>
      </c>
      <c r="J135" s="0" t="s">
        <v>3541</v>
      </c>
      <c r="K135" s="0" t="s">
        <v>3551</v>
      </c>
      <c r="L135" s="0" t="s">
        <v>3551</v>
      </c>
      <c r="M135" s="0" t="s">
        <v>3552</v>
      </c>
      <c r="O135" s="0" t="s">
        <v>3553</v>
      </c>
      <c r="P135" s="0" t="s">
        <v>3335</v>
      </c>
      <c r="Q135" s="0" t="s">
        <v>3554</v>
      </c>
      <c r="R135" s="0" t="b">
        <v>0</v>
      </c>
      <c r="S135" s="0" t="s">
        <v>3878</v>
      </c>
    </row>
    <row customHeight="1" ht="11.25">
      <c r="A136" s="0">
        <v>2640</v>
      </c>
      <c r="B136" s="0" t="s">
        <v>114</v>
      </c>
      <c r="C136" s="0">
        <v>31802432</v>
      </c>
      <c r="D136" s="0" t="s">
        <v>3999</v>
      </c>
      <c r="E136" s="0" t="s">
        <v>4000</v>
      </c>
      <c r="F136" s="0" t="s">
        <v>4001</v>
      </c>
      <c r="G136" s="0" t="s">
        <v>3160</v>
      </c>
      <c r="H136" s="0" t="s">
        <v>4002</v>
      </c>
      <c r="I136" s="0" t="s">
        <v>4003</v>
      </c>
      <c r="K136" s="0" t="s">
        <v>4004</v>
      </c>
      <c r="L136" s="0" t="s">
        <v>4004</v>
      </c>
      <c r="M136" s="0" t="s">
        <v>4005</v>
      </c>
      <c r="N136" s="0" t="s">
        <v>4006</v>
      </c>
      <c r="O136" s="0" t="s">
        <v>4007</v>
      </c>
      <c r="P136" s="0" t="s">
        <v>179</v>
      </c>
      <c r="Q136" s="0" t="s">
        <v>242</v>
      </c>
      <c r="R136" s="0" t="b">
        <v>0</v>
      </c>
      <c r="S136" s="0" t="s">
        <v>3878</v>
      </c>
    </row>
    <row customHeight="1" ht="11.25">
      <c r="A137" s="0">
        <v>2640</v>
      </c>
      <c r="B137" s="0" t="s">
        <v>114</v>
      </c>
      <c r="C137" s="0">
        <v>28262419</v>
      </c>
      <c r="D137" s="0" t="s">
        <v>4008</v>
      </c>
      <c r="E137" s="0" t="s">
        <v>4009</v>
      </c>
      <c r="F137" s="0" t="s">
        <v>4010</v>
      </c>
      <c r="G137" s="0" t="s">
        <v>3160</v>
      </c>
      <c r="H137" s="0" t="s">
        <v>4011</v>
      </c>
      <c r="I137" s="0" t="s">
        <v>4012</v>
      </c>
      <c r="J137" s="0" t="s">
        <v>3561</v>
      </c>
      <c r="K137" s="0" t="s">
        <v>4013</v>
      </c>
      <c r="L137" s="0" t="s">
        <v>4014</v>
      </c>
      <c r="M137" s="0" t="s">
        <v>4015</v>
      </c>
      <c r="O137" s="0" t="s">
        <v>4016</v>
      </c>
      <c r="P137" s="0" t="s">
        <v>179</v>
      </c>
      <c r="Q137" s="0" t="s">
        <v>4017</v>
      </c>
      <c r="R137" s="0" t="b">
        <v>0</v>
      </c>
      <c r="S137" s="0" t="s">
        <v>3878</v>
      </c>
    </row>
    <row customHeight="1" ht="11.25">
      <c r="A138" s="0">
        <v>2640</v>
      </c>
      <c r="B138" s="0" t="s">
        <v>114</v>
      </c>
      <c r="C138" s="0">
        <v>31658371</v>
      </c>
      <c r="D138" s="0" t="s">
        <v>4018</v>
      </c>
      <c r="E138" s="0" t="s">
        <v>4019</v>
      </c>
      <c r="F138" s="0" t="s">
        <v>4020</v>
      </c>
      <c r="G138" s="0" t="s">
        <v>3961</v>
      </c>
      <c r="H138" s="0" t="s">
        <v>4021</v>
      </c>
      <c r="I138" s="0" t="s">
        <v>4022</v>
      </c>
      <c r="K138" s="0" t="s">
        <v>4023</v>
      </c>
      <c r="L138" s="0" t="s">
        <v>4023</v>
      </c>
      <c r="M138" s="0" t="s">
        <v>4024</v>
      </c>
      <c r="N138" s="0" t="s">
        <v>4025</v>
      </c>
      <c r="O138" s="0" t="s">
        <v>4026</v>
      </c>
      <c r="P138" s="0" t="s">
        <v>179</v>
      </c>
      <c r="Q138" s="0" t="s">
        <v>4027</v>
      </c>
      <c r="R138" s="0" t="b">
        <v>0</v>
      </c>
      <c r="S138" s="0" t="s">
        <v>3878</v>
      </c>
    </row>
    <row customHeight="1" ht="11.25">
      <c r="A139" s="0">
        <v>2640</v>
      </c>
      <c r="B139" s="0" t="s">
        <v>114</v>
      </c>
      <c r="C139" s="0">
        <v>31348973</v>
      </c>
      <c r="D139" s="0" t="s">
        <v>4028</v>
      </c>
      <c r="E139" s="0" t="s">
        <v>4029</v>
      </c>
      <c r="F139" s="0" t="s">
        <v>4030</v>
      </c>
      <c r="G139" s="0" t="s">
        <v>3184</v>
      </c>
      <c r="H139" s="0" t="s">
        <v>4031</v>
      </c>
      <c r="I139" s="0" t="s">
        <v>4032</v>
      </c>
      <c r="J139" s="0" t="s">
        <v>156</v>
      </c>
      <c r="K139" s="0" t="s">
        <v>4033</v>
      </c>
      <c r="L139" s="0" t="s">
        <v>4033</v>
      </c>
      <c r="N139" s="0" t="s">
        <v>4034</v>
      </c>
      <c r="O139" s="0" t="s">
        <v>4035</v>
      </c>
      <c r="P139" s="0" t="s">
        <v>4036</v>
      </c>
      <c r="R139" s="0" t="b">
        <v>1</v>
      </c>
      <c r="S139" s="0" t="s">
        <v>3878</v>
      </c>
    </row>
    <row customHeight="1" ht="11.25">
      <c r="A140" s="0">
        <v>2640</v>
      </c>
      <c r="B140" s="0" t="s">
        <v>114</v>
      </c>
      <c r="C140" s="0">
        <v>31517263</v>
      </c>
      <c r="D140" s="0" t="s">
        <v>4037</v>
      </c>
      <c r="E140" s="0" t="s">
        <v>4038</v>
      </c>
      <c r="F140" s="0" t="s">
        <v>4039</v>
      </c>
      <c r="G140" s="0" t="s">
        <v>4040</v>
      </c>
      <c r="H140" s="0" t="s">
        <v>4041</v>
      </c>
      <c r="I140" s="0" t="s">
        <v>4042</v>
      </c>
      <c r="J140" s="0" t="s">
        <v>156</v>
      </c>
      <c r="K140" s="0" t="s">
        <v>4043</v>
      </c>
      <c r="L140" s="0" t="s">
        <v>4044</v>
      </c>
      <c r="M140" s="0" t="s">
        <v>4045</v>
      </c>
      <c r="N140" s="0" t="s">
        <v>4046</v>
      </c>
      <c r="O140" s="0" t="s">
        <v>4047</v>
      </c>
      <c r="P140" s="0" t="s">
        <v>4048</v>
      </c>
      <c r="R140" s="0" t="b">
        <v>0</v>
      </c>
      <c r="S140" s="0" t="s">
        <v>3878</v>
      </c>
    </row>
    <row customHeight="1" ht="11.25">
      <c r="A141" s="0">
        <v>2640</v>
      </c>
      <c r="B141" s="0" t="s">
        <v>114</v>
      </c>
      <c r="C141" s="0">
        <v>31194276</v>
      </c>
      <c r="D141" s="0" t="s">
        <v>4049</v>
      </c>
      <c r="E141" s="0" t="s">
        <v>4050</v>
      </c>
      <c r="F141" s="0" t="s">
        <v>4051</v>
      </c>
      <c r="G141" s="0" t="s">
        <v>3931</v>
      </c>
      <c r="H141" s="0" t="s">
        <v>4052</v>
      </c>
      <c r="I141" s="0" t="s">
        <v>4053</v>
      </c>
      <c r="J141" s="0" t="s">
        <v>156</v>
      </c>
      <c r="K141" s="0" t="s">
        <v>4054</v>
      </c>
      <c r="L141" s="0" t="s">
        <v>4054</v>
      </c>
      <c r="M141" s="0" t="s">
        <v>4055</v>
      </c>
      <c r="N141" s="0" t="s">
        <v>4034</v>
      </c>
      <c r="O141" s="0" t="s">
        <v>4056</v>
      </c>
      <c r="P141" s="0" t="s">
        <v>4036</v>
      </c>
      <c r="R141" s="0" t="b">
        <v>0</v>
      </c>
      <c r="S141" s="0" t="s">
        <v>3878</v>
      </c>
    </row>
    <row customHeight="1" ht="11.25">
      <c r="A142" s="0">
        <v>2640</v>
      </c>
      <c r="B142" s="0" t="s">
        <v>114</v>
      </c>
      <c r="C142" s="0">
        <v>30947932</v>
      </c>
      <c r="D142" s="0" t="s">
        <v>4057</v>
      </c>
      <c r="E142" s="0" t="s">
        <v>4058</v>
      </c>
      <c r="F142" s="0" t="s">
        <v>4059</v>
      </c>
      <c r="G142" s="0" t="s">
        <v>3931</v>
      </c>
      <c r="H142" s="0" t="s">
        <v>4060</v>
      </c>
      <c r="I142" s="0" t="s">
        <v>4061</v>
      </c>
      <c r="J142" s="0" t="s">
        <v>156</v>
      </c>
      <c r="K142" s="0" t="s">
        <v>4062</v>
      </c>
      <c r="L142" s="0" t="s">
        <v>4062</v>
      </c>
      <c r="N142" s="0" t="s">
        <v>4063</v>
      </c>
      <c r="O142" s="0" t="s">
        <v>4064</v>
      </c>
      <c r="R142" s="0" t="b">
        <v>0</v>
      </c>
      <c r="S142" s="0" t="s">
        <v>3878</v>
      </c>
    </row>
    <row customHeight="1" ht="11.25">
      <c r="A143" s="0">
        <v>2640</v>
      </c>
      <c r="B143" s="0" t="s">
        <v>114</v>
      </c>
      <c r="C143" s="0">
        <v>26381397</v>
      </c>
      <c r="D143" s="0" t="s">
        <v>3605</v>
      </c>
      <c r="E143" s="0" t="s">
        <v>3606</v>
      </c>
      <c r="F143" s="0" t="s">
        <v>3851</v>
      </c>
      <c r="G143" s="0" t="s">
        <v>3558</v>
      </c>
      <c r="H143" s="0" t="s">
        <v>3852</v>
      </c>
      <c r="I143" s="0" t="s">
        <v>3853</v>
      </c>
      <c r="J143" s="0" t="s">
        <v>156</v>
      </c>
      <c r="K143" s="0" t="s">
        <v>3854</v>
      </c>
      <c r="L143" s="0" t="s">
        <v>3855</v>
      </c>
      <c r="M143" s="0" t="s">
        <v>3856</v>
      </c>
      <c r="N143" s="0" t="s">
        <v>3857</v>
      </c>
      <c r="O143" s="0" t="s">
        <v>3858</v>
      </c>
      <c r="P143" s="0" t="s">
        <v>179</v>
      </c>
      <c r="Q143" s="0" t="s">
        <v>190</v>
      </c>
      <c r="R143" s="0" t="b">
        <v>1</v>
      </c>
      <c r="S143" s="0" t="s">
        <v>3878</v>
      </c>
    </row>
    <row customHeight="1" ht="11.25">
      <c r="A144" s="0">
        <v>2640</v>
      </c>
      <c r="B144" s="0" t="s">
        <v>114</v>
      </c>
      <c r="C144" s="0">
        <v>28819574</v>
      </c>
      <c r="D144" s="0" t="s">
        <v>4065</v>
      </c>
      <c r="E144" s="0" t="s">
        <v>4066</v>
      </c>
      <c r="F144" s="0" t="s">
        <v>4067</v>
      </c>
      <c r="G144" s="0" t="s">
        <v>3160</v>
      </c>
      <c r="H144" s="0" t="s">
        <v>4068</v>
      </c>
      <c r="J144" s="0" t="s">
        <v>156</v>
      </c>
      <c r="K144" s="0" t="s">
        <v>4069</v>
      </c>
      <c r="L144" s="0" t="s">
        <v>4069</v>
      </c>
      <c r="M144" s="0" t="s">
        <v>4070</v>
      </c>
      <c r="N144" s="0" t="s">
        <v>4071</v>
      </c>
      <c r="O144" s="0" t="s">
        <v>3877</v>
      </c>
      <c r="P144" s="0" t="s">
        <v>3119</v>
      </c>
      <c r="Q144" s="0" t="s">
        <v>190</v>
      </c>
      <c r="R144" s="0" t="b">
        <v>1</v>
      </c>
      <c r="S144" s="0" t="s">
        <v>3878</v>
      </c>
    </row>
    <row customHeight="1" ht="11.25">
      <c r="A145" s="0">
        <v>2640</v>
      </c>
      <c r="B145" s="0" t="s">
        <v>114</v>
      </c>
      <c r="C145" s="0">
        <v>28136693</v>
      </c>
      <c r="D145" s="0" t="s">
        <v>133</v>
      </c>
      <c r="E145" s="0" t="s">
        <v>136</v>
      </c>
      <c r="F145" s="0" t="s">
        <v>146</v>
      </c>
      <c r="G145" s="0" t="s">
        <v>149</v>
      </c>
      <c r="H145" s="0" t="s">
        <v>143</v>
      </c>
      <c r="I145" s="0" t="s">
        <v>152</v>
      </c>
      <c r="J145" s="0" t="s">
        <v>156</v>
      </c>
      <c r="K145" s="0" t="s">
        <v>160</v>
      </c>
      <c r="L145" s="0" t="s">
        <v>160</v>
      </c>
      <c r="M145" s="0" t="s">
        <v>167</v>
      </c>
      <c r="N145" s="0" t="s">
        <v>171</v>
      </c>
      <c r="O145" s="0" t="s">
        <v>175</v>
      </c>
      <c r="P145" s="0" t="s">
        <v>179</v>
      </c>
      <c r="Q145" s="0" t="s">
        <v>183</v>
      </c>
      <c r="R145" s="0" t="b">
        <v>0</v>
      </c>
      <c r="S145" s="0" t="s">
        <v>3878</v>
      </c>
    </row>
    <row customHeight="1" ht="11.25">
      <c r="A146" s="0">
        <v>2640</v>
      </c>
      <c r="B146" s="0" t="s">
        <v>114</v>
      </c>
      <c r="C146" s="0">
        <v>26360469</v>
      </c>
      <c r="D146" s="0" t="s">
        <v>4072</v>
      </c>
      <c r="E146" s="0" t="s">
        <v>4073</v>
      </c>
      <c r="F146" s="0" t="s">
        <v>4074</v>
      </c>
      <c r="G146" s="0" t="s">
        <v>3961</v>
      </c>
      <c r="H146" s="0" t="s">
        <v>4075</v>
      </c>
      <c r="I146" s="0" t="s">
        <v>4076</v>
      </c>
      <c r="J146" s="0" t="s">
        <v>156</v>
      </c>
      <c r="K146" s="0" t="s">
        <v>4077</v>
      </c>
      <c r="L146" s="0" t="s">
        <v>4077</v>
      </c>
      <c r="M146" s="0" t="s">
        <v>4078</v>
      </c>
      <c r="N146" s="0" t="s">
        <v>4079</v>
      </c>
      <c r="O146" s="0" t="s">
        <v>3978</v>
      </c>
      <c r="P146" s="0" t="s">
        <v>3119</v>
      </c>
      <c r="Q146" s="0" t="s">
        <v>4080</v>
      </c>
      <c r="R146" s="0" t="b">
        <v>0</v>
      </c>
      <c r="S146" s="0" t="s">
        <v>3878</v>
      </c>
    </row>
    <row customHeight="1" ht="11.25">
      <c r="A147" s="0">
        <v>2640</v>
      </c>
      <c r="B147" s="0" t="s">
        <v>114</v>
      </c>
      <c r="C147" s="0">
        <v>31205611</v>
      </c>
      <c r="D147" s="0" t="s">
        <v>4081</v>
      </c>
      <c r="E147" s="0" t="s">
        <v>4082</v>
      </c>
      <c r="F147" s="0" t="s">
        <v>4083</v>
      </c>
      <c r="G147" s="0" t="s">
        <v>3160</v>
      </c>
      <c r="H147" s="0" t="s">
        <v>4084</v>
      </c>
      <c r="I147" s="0" t="s">
        <v>4085</v>
      </c>
      <c r="J147" s="0" t="s">
        <v>156</v>
      </c>
      <c r="K147" s="0" t="s">
        <v>4086</v>
      </c>
      <c r="L147" s="0" t="s">
        <v>4086</v>
      </c>
      <c r="M147" s="0" t="s">
        <v>4087</v>
      </c>
      <c r="N147" s="0" t="s">
        <v>4088</v>
      </c>
      <c r="P147" s="0" t="s">
        <v>179</v>
      </c>
      <c r="Q147" s="0" t="s">
        <v>4089</v>
      </c>
      <c r="R147" s="0" t="b">
        <v>1</v>
      </c>
      <c r="S147" s="0" t="s">
        <v>3878</v>
      </c>
    </row>
    <row customHeight="1" ht="11.25">
      <c r="A148" s="0">
        <v>2640</v>
      </c>
      <c r="B148" s="0" t="s">
        <v>114</v>
      </c>
      <c r="C148" s="0">
        <v>28876339</v>
      </c>
      <c r="D148" s="0" t="s">
        <v>4090</v>
      </c>
      <c r="E148" s="0" t="s">
        <v>4090</v>
      </c>
      <c r="F148" s="0" t="s">
        <v>4091</v>
      </c>
      <c r="G148" s="0" t="s">
        <v>3172</v>
      </c>
      <c r="H148" s="0" t="s">
        <v>4092</v>
      </c>
      <c r="I148" s="0" t="s">
        <v>4093</v>
      </c>
      <c r="J148" s="0" t="s">
        <v>156</v>
      </c>
      <c r="K148" s="0" t="s">
        <v>4094</v>
      </c>
      <c r="L148" s="0" t="s">
        <v>4094</v>
      </c>
      <c r="M148" s="0" t="s">
        <v>4095</v>
      </c>
      <c r="N148" s="0" t="s">
        <v>4096</v>
      </c>
      <c r="O148" s="0" t="s">
        <v>4097</v>
      </c>
      <c r="P148" s="0" t="s">
        <v>179</v>
      </c>
      <c r="Q148" s="0" t="s">
        <v>190</v>
      </c>
      <c r="R148" s="0" t="b">
        <v>1</v>
      </c>
      <c r="S148" s="0" t="s">
        <v>3878</v>
      </c>
    </row>
    <row customHeight="1" ht="11.25">
      <c r="A149" s="0">
        <v>2640</v>
      </c>
      <c r="B149" s="0" t="s">
        <v>114</v>
      </c>
      <c r="C149" s="0">
        <v>31456789</v>
      </c>
      <c r="D149" s="0" t="s">
        <v>4098</v>
      </c>
      <c r="E149" s="0" t="s">
        <v>4098</v>
      </c>
      <c r="F149" s="0" t="s">
        <v>4099</v>
      </c>
      <c r="G149" s="0" t="s">
        <v>4100</v>
      </c>
      <c r="H149" s="0" t="s">
        <v>4101</v>
      </c>
      <c r="J149" s="0" t="s">
        <v>156</v>
      </c>
      <c r="L149" s="0" t="s">
        <v>4102</v>
      </c>
      <c r="M149" s="0" t="s">
        <v>4103</v>
      </c>
      <c r="O149" s="0" t="s">
        <v>4104</v>
      </c>
      <c r="P149" s="0" t="s">
        <v>3225</v>
      </c>
      <c r="R149" s="0" t="b">
        <v>1</v>
      </c>
      <c r="S149" s="0" t="s">
        <v>3878</v>
      </c>
    </row>
    <row customHeight="1" ht="11.25">
      <c r="A150" s="0">
        <v>2640</v>
      </c>
      <c r="B150" s="0" t="s">
        <v>114</v>
      </c>
      <c r="C150" s="0">
        <v>28816106</v>
      </c>
      <c r="D150" s="0" t="s">
        <v>4105</v>
      </c>
      <c r="E150" s="0" t="s">
        <v>4106</v>
      </c>
      <c r="F150" s="0" t="s">
        <v>4107</v>
      </c>
      <c r="G150" s="0" t="s">
        <v>3931</v>
      </c>
      <c r="H150" s="0" t="s">
        <v>4108</v>
      </c>
      <c r="I150" s="0" t="s">
        <v>4109</v>
      </c>
      <c r="J150" s="0" t="s">
        <v>156</v>
      </c>
      <c r="K150" s="0" t="s">
        <v>4110</v>
      </c>
      <c r="L150" s="0" t="s">
        <v>4110</v>
      </c>
      <c r="M150" s="0" t="s">
        <v>4111</v>
      </c>
      <c r="O150" s="0" t="s">
        <v>4112</v>
      </c>
      <c r="P150" s="0" t="s">
        <v>179</v>
      </c>
      <c r="Q150" s="0" t="s">
        <v>190</v>
      </c>
      <c r="R150" s="0" t="b">
        <v>1</v>
      </c>
      <c r="S150" s="0" t="s">
        <v>3878</v>
      </c>
    </row>
    <row customHeight="1" ht="11.25">
      <c r="A151" s="0">
        <v>2640</v>
      </c>
      <c r="B151" s="0" t="s">
        <v>114</v>
      </c>
      <c r="C151" s="0">
        <v>28982962</v>
      </c>
      <c r="D151" s="0" t="s">
        <v>4113</v>
      </c>
      <c r="E151" s="0" t="s">
        <v>4114</v>
      </c>
      <c r="F151" s="0" t="s">
        <v>4115</v>
      </c>
      <c r="G151" s="0" t="s">
        <v>3961</v>
      </c>
      <c r="H151" s="0" t="s">
        <v>4116</v>
      </c>
      <c r="J151" s="0" t="s">
        <v>156</v>
      </c>
      <c r="K151" s="0" t="s">
        <v>4117</v>
      </c>
      <c r="L151" s="0" t="s">
        <v>4117</v>
      </c>
      <c r="M151" s="0" t="s">
        <v>4118</v>
      </c>
      <c r="N151" s="0" t="s">
        <v>4119</v>
      </c>
      <c r="O151" s="0" t="s">
        <v>4120</v>
      </c>
      <c r="P151" s="0" t="s">
        <v>179</v>
      </c>
      <c r="R151" s="0" t="b">
        <v>1</v>
      </c>
      <c r="S151" s="0" t="s">
        <v>3878</v>
      </c>
    </row>
    <row customHeight="1" ht="11.25">
      <c r="A152" s="0">
        <v>2640</v>
      </c>
      <c r="B152" s="0" t="s">
        <v>114</v>
      </c>
      <c r="C152" s="0">
        <v>30391745</v>
      </c>
      <c r="D152" s="0" t="s">
        <v>4121</v>
      </c>
      <c r="E152" s="0" t="s">
        <v>4122</v>
      </c>
      <c r="F152" s="0" t="s">
        <v>4123</v>
      </c>
      <c r="G152" s="0" t="s">
        <v>3160</v>
      </c>
      <c r="H152" s="0" t="s">
        <v>4124</v>
      </c>
      <c r="J152" s="0" t="s">
        <v>156</v>
      </c>
      <c r="K152" s="0" t="s">
        <v>4125</v>
      </c>
      <c r="L152" s="0" t="s">
        <v>4125</v>
      </c>
      <c r="M152" s="0" t="s">
        <v>4126</v>
      </c>
      <c r="N152" s="0" t="s">
        <v>4127</v>
      </c>
      <c r="O152" s="0" t="s">
        <v>4128</v>
      </c>
      <c r="P152" s="0" t="s">
        <v>179</v>
      </c>
      <c r="R152" s="0" t="b">
        <v>0</v>
      </c>
      <c r="S152" s="0" t="s">
        <v>3878</v>
      </c>
    </row>
    <row customHeight="1" ht="11.25">
      <c r="A153" s="0">
        <v>2640</v>
      </c>
      <c r="B153" s="0" t="s">
        <v>114</v>
      </c>
      <c r="C153" s="0">
        <v>26506229</v>
      </c>
      <c r="D153" s="0" t="s">
        <v>4129</v>
      </c>
      <c r="E153" s="0" t="s">
        <v>4130</v>
      </c>
      <c r="F153" s="0" t="s">
        <v>4131</v>
      </c>
      <c r="G153" s="0" t="s">
        <v>3160</v>
      </c>
      <c r="H153" s="0" t="s">
        <v>4132</v>
      </c>
      <c r="I153" s="0" t="s">
        <v>4133</v>
      </c>
      <c r="J153" s="0" t="s">
        <v>3294</v>
      </c>
      <c r="K153" s="0" t="s">
        <v>4134</v>
      </c>
      <c r="L153" s="0" t="s">
        <v>4134</v>
      </c>
      <c r="M153" s="0" t="s">
        <v>4135</v>
      </c>
      <c r="N153" s="0" t="s">
        <v>4136</v>
      </c>
      <c r="O153" s="0" t="s">
        <v>4137</v>
      </c>
      <c r="P153" s="0" t="s">
        <v>179</v>
      </c>
      <c r="Q153" s="0" t="s">
        <v>4138</v>
      </c>
      <c r="R153" s="0" t="b">
        <v>0</v>
      </c>
      <c r="S153" s="0" t="s">
        <v>3878</v>
      </c>
    </row>
    <row customHeight="1" ht="11.25">
      <c r="A154" s="0">
        <v>2640</v>
      </c>
      <c r="B154" s="0" t="s">
        <v>114</v>
      </c>
      <c r="C154" s="0">
        <v>26360477</v>
      </c>
      <c r="D154" s="0" t="s">
        <v>4139</v>
      </c>
      <c r="E154" s="0" t="s">
        <v>4140</v>
      </c>
      <c r="F154" s="0" t="s">
        <v>4141</v>
      </c>
      <c r="G154" s="0" t="s">
        <v>3136</v>
      </c>
      <c r="H154" s="0" t="s">
        <v>4142</v>
      </c>
      <c r="I154" s="0" t="s">
        <v>4143</v>
      </c>
      <c r="J154" s="0" t="s">
        <v>3294</v>
      </c>
      <c r="K154" s="0" t="s">
        <v>4144</v>
      </c>
      <c r="L154" s="0" t="s">
        <v>4145</v>
      </c>
      <c r="M154" s="0" t="s">
        <v>4146</v>
      </c>
      <c r="N154" s="0" t="s">
        <v>4147</v>
      </c>
      <c r="O154" s="0" t="s">
        <v>4148</v>
      </c>
      <c r="P154" s="0" t="s">
        <v>179</v>
      </c>
      <c r="Q154" s="0" t="s">
        <v>4149</v>
      </c>
      <c r="R154" s="0" t="b">
        <v>0</v>
      </c>
      <c r="S154" s="0" t="s">
        <v>3878</v>
      </c>
    </row>
    <row customHeight="1" ht="11.25">
      <c r="A155" s="0">
        <v>2640</v>
      </c>
      <c r="B155" s="0" t="s">
        <v>114</v>
      </c>
      <c r="C155" s="0">
        <v>26360536</v>
      </c>
      <c r="D155" s="0" t="s">
        <v>4150</v>
      </c>
      <c r="E155" s="0" t="s">
        <v>4151</v>
      </c>
      <c r="F155" s="0" t="s">
        <v>4152</v>
      </c>
      <c r="G155" s="0" t="s">
        <v>3529</v>
      </c>
      <c r="H155" s="0" t="s">
        <v>4153</v>
      </c>
      <c r="I155" s="0" t="s">
        <v>4154</v>
      </c>
      <c r="J155" s="0" t="s">
        <v>3294</v>
      </c>
      <c r="K155" s="0" t="s">
        <v>4155</v>
      </c>
      <c r="L155" s="0" t="s">
        <v>4155</v>
      </c>
      <c r="M155" s="0" t="s">
        <v>4156</v>
      </c>
      <c r="N155" s="0" t="s">
        <v>4157</v>
      </c>
      <c r="O155" s="0" t="s">
        <v>4158</v>
      </c>
      <c r="P155" s="0" t="s">
        <v>179</v>
      </c>
      <c r="Q155" s="0" t="s">
        <v>4159</v>
      </c>
      <c r="R155" s="0" t="b">
        <v>0</v>
      </c>
      <c r="S155" s="0" t="s">
        <v>3878</v>
      </c>
    </row>
    <row customHeight="1" ht="11.25">
      <c r="A156" s="0">
        <v>2640</v>
      </c>
      <c r="B156" s="0" t="s">
        <v>114</v>
      </c>
      <c r="C156" s="0">
        <v>26319974</v>
      </c>
      <c r="D156" s="0" t="s">
        <v>4160</v>
      </c>
      <c r="E156" s="0" t="s">
        <v>4161</v>
      </c>
      <c r="F156" s="0" t="s">
        <v>4162</v>
      </c>
      <c r="G156" s="0" t="s">
        <v>3160</v>
      </c>
      <c r="H156" s="0" t="s">
        <v>4163</v>
      </c>
      <c r="I156" s="0" t="s">
        <v>4164</v>
      </c>
      <c r="J156" s="0" t="s">
        <v>3777</v>
      </c>
      <c r="K156" s="0" t="s">
        <v>4165</v>
      </c>
      <c r="L156" s="0" t="s">
        <v>4165</v>
      </c>
      <c r="M156" s="0" t="s">
        <v>4166</v>
      </c>
      <c r="N156" s="0" t="s">
        <v>4167</v>
      </c>
      <c r="O156" s="0" t="s">
        <v>4168</v>
      </c>
      <c r="P156" s="0" t="s">
        <v>4169</v>
      </c>
      <c r="Q156" s="0" t="s">
        <v>190</v>
      </c>
      <c r="R156" s="0" t="b">
        <v>0</v>
      </c>
      <c r="S156" s="0" t="s">
        <v>3878</v>
      </c>
    </row>
    <row customHeight="1" ht="11.25">
      <c r="A157" s="0">
        <v>2640</v>
      </c>
      <c r="B157" s="0" t="s">
        <v>114</v>
      </c>
      <c r="C157" s="0">
        <v>31529732</v>
      </c>
      <c r="D157" s="0" t="s">
        <v>3763</v>
      </c>
      <c r="E157" s="0" t="s">
        <v>3764</v>
      </c>
      <c r="F157" s="0" t="s">
        <v>3765</v>
      </c>
      <c r="G157" s="0" t="s">
        <v>3766</v>
      </c>
      <c r="H157" s="0" t="s">
        <v>3767</v>
      </c>
      <c r="I157" s="0" t="s">
        <v>3768</v>
      </c>
      <c r="K157" s="0" t="s">
        <v>3769</v>
      </c>
      <c r="L157" s="0" t="s">
        <v>3770</v>
      </c>
      <c r="O157" s="0" t="s">
        <v>3771</v>
      </c>
      <c r="P157" s="0" t="s">
        <v>179</v>
      </c>
      <c r="R157" s="0" t="b">
        <v>0</v>
      </c>
      <c r="S157" s="0" t="s">
        <v>3878</v>
      </c>
    </row>
    <row customHeight="1" ht="11.25">
      <c r="A158" s="0">
        <v>2640</v>
      </c>
      <c r="B158" s="0" t="s">
        <v>114</v>
      </c>
      <c r="C158" s="0">
        <v>26359393</v>
      </c>
      <c r="D158" s="0" t="s">
        <v>3782</v>
      </c>
      <c r="E158" s="0" t="s">
        <v>3783</v>
      </c>
      <c r="F158" s="0" t="s">
        <v>3784</v>
      </c>
      <c r="G158" s="0" t="s">
        <v>3785</v>
      </c>
      <c r="H158" s="0" t="s">
        <v>3786</v>
      </c>
      <c r="I158" s="0" t="s">
        <v>3787</v>
      </c>
      <c r="J158" s="0" t="s">
        <v>3127</v>
      </c>
      <c r="K158" s="0" t="s">
        <v>3788</v>
      </c>
      <c r="L158" s="0" t="s">
        <v>3788</v>
      </c>
      <c r="M158" s="0" t="s">
        <v>3789</v>
      </c>
      <c r="N158" s="0" t="s">
        <v>3790</v>
      </c>
      <c r="O158" s="0" t="s">
        <v>3791</v>
      </c>
      <c r="P158" s="0" t="s">
        <v>179</v>
      </c>
      <c r="Q158" s="0" t="s">
        <v>3792</v>
      </c>
      <c r="R158" s="0" t="b">
        <v>0</v>
      </c>
      <c r="S158" s="0" t="s">
        <v>3878</v>
      </c>
    </row>
    <row customHeight="1" ht="11.25">
      <c r="A159" s="0">
        <v>2640</v>
      </c>
      <c r="B159" s="0" t="s">
        <v>114</v>
      </c>
      <c r="C159" s="0">
        <v>30914574</v>
      </c>
      <c r="D159" s="0" t="s">
        <v>3793</v>
      </c>
      <c r="E159" s="0" t="s">
        <v>3794</v>
      </c>
      <c r="F159" s="0" t="s">
        <v>3795</v>
      </c>
      <c r="G159" s="0" t="s">
        <v>3796</v>
      </c>
      <c r="H159" s="0" t="s">
        <v>3797</v>
      </c>
      <c r="I159" s="0" t="s">
        <v>3798</v>
      </c>
      <c r="J159" s="0" t="s">
        <v>3777</v>
      </c>
      <c r="L159" s="0" t="s">
        <v>3799</v>
      </c>
      <c r="M159" s="0" t="s">
        <v>3800</v>
      </c>
      <c r="N159" s="0" t="s">
        <v>3801</v>
      </c>
      <c r="O159" s="0" t="s">
        <v>3802</v>
      </c>
      <c r="P159" s="0" t="s">
        <v>3803</v>
      </c>
      <c r="R159" s="0" t="b">
        <v>0</v>
      </c>
      <c r="S159" s="0" t="s">
        <v>3878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B07E5-AEFE-5D9C-AA9F-47559FD57512}" mc:Ignorable="x14ac xr xr2 xr3">
  <sheetPr>
    <tabColor theme="3" tint="0.6"/>
    <pageSetUpPr fitToPage="1"/>
  </sheetPr>
  <dimension ref="A1:BE218"/>
  <sheetViews>
    <sheetView topLeftCell="AD159" showGridLines="0" workbookViewId="0">
      <selection activeCell="AE205" sqref="AE205"/>
    </sheetView>
  </sheetViews>
  <sheetFormatPr defaultColWidth="9.140625" customHeight="1" defaultRowHeight="19.5"/>
  <cols>
    <col min="1" max="1" style="1498" width="3.57421875" hidden="1" customWidth="1"/>
    <col min="2" max="2" style="925" width="8.57421875" hidden="1" customWidth="1"/>
    <col min="3" max="4" style="1498" width="3.57421875" hidden="1" customWidth="1"/>
    <col min="5" max="5" style="923" width="8.421875" hidden="1" customWidth="1"/>
    <col min="6" max="6" style="963" width="3.57421875" hidden="1" customWidth="1"/>
    <col min="7" max="7" style="1498" width="8.140625" hidden="1" customWidth="1"/>
    <col min="8" max="13" style="1498" width="3.57421875" hidden="1" customWidth="1"/>
    <col min="14" max="14" style="1498" width="6.421875" hidden="1" customWidth="1"/>
    <col min="15" max="18" style="1498" width="3.57421875" hidden="1" customWidth="1"/>
    <col min="19" max="19" style="1263" width="25.28125" hidden="1" customWidth="1"/>
    <col min="20" max="20" style="1264" width="12.57421875" hidden="1" customWidth="1"/>
    <col min="21" max="22" style="1498" width="3.57421875" hidden="1" customWidth="1"/>
    <col min="23" max="23" style="1498" width="7.8515625" hidden="1" customWidth="1"/>
    <col min="24" max="24" style="1498" width="7.7109375" hidden="1" customWidth="1"/>
    <col min="25" max="25" style="1498" width="6.28125" hidden="1" customWidth="1"/>
    <col min="26" max="26" style="1498"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98"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98"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98"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98"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98"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98"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98"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98"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98"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98"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98"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98"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98"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98"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98"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98"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2" t="s">
        <v>113</v>
      </c>
      <c r="AC22" s="1403"/>
      <c r="AD22" s="1404"/>
      <c r="AE22" s="468" t="s">
        <v>114</v>
      </c>
      <c r="AF22" s="424" t="str">
        <f>_xlfn.IFERROR(INDEX(TEHSHEET!B1:B86,MATCH(region_name,REGION,0)),"")</f>
        <v>RU73</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4"/>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3" t="s">
        <v>121</v>
      </c>
      <c r="AC24" s="1403"/>
      <c r="AD24" s="1404"/>
      <c r="AE24" s="1336">
        <v>2026</v>
      </c>
      <c r="AF24" s="426"/>
      <c r="AL24" s="1414"/>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3" t="s">
        <v>123</v>
      </c>
      <c r="AC25" s="1403"/>
      <c r="AD25" s="1404"/>
      <c r="AE25" s="1336">
        <v>2024</v>
      </c>
      <c r="AF25" s="427">
        <f>first_year+PERIOD_LENGTH-1</f>
        <v>2028</v>
      </c>
      <c r="AG25" s="248" cm="1" t="str">
        <f t="array" ref="AG25:AG25">IF(CorrectionOnlyForRegPeriod="да",god,last_year)</f>
        <v>2026</v>
      </c>
      <c r="AL25" s="1414"/>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3" t="s">
        <v>127</v>
      </c>
      <c r="AC26" s="1403"/>
      <c r="AD26" s="1404"/>
      <c r="AE26" s="1336">
        <v>5</v>
      </c>
      <c r="AF26" s="426"/>
      <c r="AL26" s="1414"/>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3" t="s">
        <v>129</v>
      </c>
      <c r="AC27" s="1403"/>
      <c r="AD27" s="1404"/>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5" t="s">
        <v>130</v>
      </c>
      <c r="AC30" s="1405"/>
      <c r="AD30" s="1405"/>
      <c r="AE30" s="1405"/>
      <c r="AF30" s="428"/>
      <c r="AG30" s="188"/>
      <c r="AH30" s="188"/>
      <c r="AI30" s="188"/>
      <c r="AJ30" s="188"/>
      <c r="AK30" s="188"/>
      <c r="AL30" s="188"/>
    </row>
    <row customHeight="1" ht="19.89">
      <c r="E31" s="794">
        <v>20.4</v>
      </c>
      <c r="S31" s="1263"/>
      <c r="T31" s="1264"/>
      <c r="AB31" s="1406" t="s">
        <v>131</v>
      </c>
      <c r="AC31" s="1406"/>
      <c r="AD31" s="1406"/>
      <c r="AE31" s="1406"/>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5" t="s">
        <v>132</v>
      </c>
      <c r="AC32" s="1405"/>
      <c r="AD32" s="1405"/>
      <c r="AE32" s="1405"/>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98">
        <v>28136693</v>
      </c>
      <c r="AB33" s="1565" t="s">
        <v>133</v>
      </c>
      <c r="AC33" s="1407"/>
      <c r="AD33" s="1407"/>
      <c r="AE33" s="1407"/>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Ульяновская область / 2026 / ООО "НИИАР-ГЕНЕРАЦИЯ" (ИНН:7329008990, КПП:732901001)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0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8"/>
      <c r="AD34" s="1408"/>
      <c r="AE34" s="1408"/>
      <c r="AF34" s="429"/>
      <c r="AG34" s="188"/>
      <c r="AH34" s="188"/>
      <c r="AI34" s="188"/>
      <c r="AJ34" s="188"/>
      <c r="AK34" s="188"/>
      <c r="AL34" s="188"/>
    </row>
    <row customHeight="1" ht="19.89">
      <c r="E35" s="794">
        <v>20.4</v>
      </c>
      <c r="AB35" s="140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09"/>
      <c r="AD35" s="1409"/>
      <c r="AE35" s="1409"/>
      <c r="AF35" s="430"/>
      <c r="AG35" s="188"/>
      <c r="AH35" s="188"/>
      <c r="AI35" s="188"/>
      <c r="AJ35" s="188"/>
      <c r="AK35" s="188"/>
      <c r="AL35" s="188"/>
    </row>
    <row customHeight="1" ht="11.0175">
      <c r="E36" s="794">
        <v>11.3</v>
      </c>
      <c r="AB36" s="1410"/>
      <c r="AC36" s="1411"/>
      <c r="AD36" s="1411"/>
      <c r="AE36" s="1412"/>
      <c r="AF36" s="431"/>
      <c r="AG36" s="189"/>
      <c r="AH36" s="180"/>
      <c r="AI36" s="1400"/>
      <c r="AJ36" s="1400"/>
      <c r="AK36" s="180"/>
      <c r="AL36" s="189"/>
    </row>
    <row customHeight="1" ht="19.89">
      <c r="E37" s="794">
        <v>20.4</v>
      </c>
      <c r="AB37" s="1401" t="s">
        <v>134</v>
      </c>
      <c r="AC37" s="1401"/>
      <c r="AD37" s="1401"/>
      <c r="AE37" s="1401"/>
      <c r="AF37" s="432"/>
      <c r="AG37" s="177"/>
      <c r="AH37" s="177"/>
      <c r="AI37" s="177"/>
      <c r="AJ37" s="177"/>
      <c r="AK37" s="177"/>
      <c r="AL37" s="187"/>
    </row>
    <row customHeight="1" ht="23.985000000000003">
      <c r="E38" s="794">
        <v>24.6</v>
      </c>
      <c r="S38" s="1257" t="s">
        <v>111</v>
      </c>
      <c r="T38" s="1258" t="s">
        <v>112</v>
      </c>
      <c r="AB38" s="1384" t="s">
        <v>135</v>
      </c>
      <c r="AC38" s="1384"/>
      <c r="AD38" s="1384"/>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4" t="s">
        <v>138</v>
      </c>
      <c r="AC39" s="1384"/>
      <c r="AD39" s="1384"/>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4" t="s">
        <v>140</v>
      </c>
      <c r="AC40" s="1384"/>
      <c r="AD40" s="1384"/>
      <c r="AE40" s="1566"/>
      <c r="AF40" s="423"/>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4">
        <v>20.4</v>
      </c>
      <c r="S41" s="1257" t="s">
        <v>111</v>
      </c>
      <c r="T41" s="1258" t="s">
        <v>112</v>
      </c>
      <c r="AB41" s="1386" t="s">
        <v>142</v>
      </c>
      <c r="AC41" s="1384"/>
      <c r="AD41" s="1384"/>
      <c r="AE41" s="1114" t="s">
        <v>143</v>
      </c>
      <c r="AF41" s="423"/>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4">
        <v>20.4</v>
      </c>
      <c r="S42" s="1257" t="s">
        <v>111</v>
      </c>
      <c r="T42" s="1258" t="s">
        <v>112</v>
      </c>
      <c r="AB42" s="1386" t="s">
        <v>145</v>
      </c>
      <c r="AC42" s="1384"/>
      <c r="AD42" s="1384"/>
      <c r="AE42" s="1114" t="s">
        <v>146</v>
      </c>
      <c r="AF42" s="423"/>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4">
        <v>20.4</v>
      </c>
      <c r="S43" s="1257" t="s">
        <v>111</v>
      </c>
      <c r="T43" s="1258" t="s">
        <v>112</v>
      </c>
      <c r="AB43" s="1386" t="s">
        <v>148</v>
      </c>
      <c r="AC43" s="1384"/>
      <c r="AD43" s="1384"/>
      <c r="AE43" s="1114" t="s">
        <v>149</v>
      </c>
      <c r="AF43" s="423"/>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4">
        <v>20.4</v>
      </c>
      <c r="S44" s="1257" t="s">
        <v>111</v>
      </c>
      <c r="T44" s="1258" t="s">
        <v>112</v>
      </c>
      <c r="AB44" s="1386" t="s">
        <v>151</v>
      </c>
      <c r="AC44" s="1384"/>
      <c r="AD44" s="1384"/>
      <c r="AE44" s="456" t="s">
        <v>152</v>
      </c>
      <c r="AF44" s="423"/>
      <c r="AG44" s="152"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4">
        <v>20.4</v>
      </c>
      <c r="S45" s="1257" t="s">
        <v>111</v>
      </c>
      <c r="T45" s="1258" t="s">
        <v>112</v>
      </c>
      <c r="AB45" s="1384" t="s">
        <v>155</v>
      </c>
      <c r="AC45" s="1384"/>
      <c r="AD45" s="1384"/>
      <c r="AE45" s="436" t="s">
        <v>156</v>
      </c>
      <c r="AF45" s="423"/>
      <c r="AG45" s="152"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4">
        <v>20.4</v>
      </c>
      <c r="S46" s="1257" t="s">
        <v>111</v>
      </c>
      <c r="T46" s="1258" t="s">
        <v>112</v>
      </c>
      <c r="AB46" s="1384" t="s">
        <v>159</v>
      </c>
      <c r="AC46" s="1384"/>
      <c r="AD46" s="1384"/>
      <c r="AE46" s="436" t="s">
        <v>160</v>
      </c>
      <c r="AF46" s="429"/>
      <c r="AG46" s="152"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4">
        <v>20.4</v>
      </c>
      <c r="S47" s="1257" t="s">
        <v>111</v>
      </c>
      <c r="T47" s="1258" t="s">
        <v>112</v>
      </c>
      <c r="AB47" s="1384" t="s">
        <v>163</v>
      </c>
      <c r="AC47" s="1384"/>
      <c r="AD47" s="1384"/>
      <c r="AE47" s="436" t="s">
        <v>160</v>
      </c>
      <c r="AF47" s="429"/>
      <c r="AG47" s="152"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4">
        <v>20.4</v>
      </c>
      <c r="S48" s="1257" t="s">
        <v>111</v>
      </c>
      <c r="T48" s="1258" t="s">
        <v>112</v>
      </c>
      <c r="AB48" s="1384" t="s">
        <v>166</v>
      </c>
      <c r="AC48" s="1384"/>
      <c r="AD48" s="1384"/>
      <c r="AE48" s="421" t="s">
        <v>167</v>
      </c>
      <c r="AF48" s="429"/>
      <c r="AG48" s="152"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4">
        <v>20.4</v>
      </c>
      <c r="S49" s="1257" t="s">
        <v>111</v>
      </c>
      <c r="T49" s="1258" t="s">
        <v>112</v>
      </c>
      <c r="AB49" s="1386" t="s">
        <v>170</v>
      </c>
      <c r="AC49" s="1384"/>
      <c r="AD49" s="1384"/>
      <c r="AE49" s="437" t="s">
        <v>171</v>
      </c>
      <c r="AF49" s="429"/>
      <c r="AG49" s="152"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4">
        <v>20.4</v>
      </c>
      <c r="S50" s="1257" t="s">
        <v>111</v>
      </c>
      <c r="T50" s="1258" t="s">
        <v>112</v>
      </c>
      <c r="AB50" s="1386" t="s">
        <v>174</v>
      </c>
      <c r="AC50" s="1384"/>
      <c r="AD50" s="1384"/>
      <c r="AE50" s="436" t="s">
        <v>175</v>
      </c>
      <c r="AF50" s="429"/>
      <c r="AG50" s="152"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4">
        <v>20.4</v>
      </c>
      <c r="S51" s="1257" t="s">
        <v>111</v>
      </c>
      <c r="T51" s="1258" t="s">
        <v>112</v>
      </c>
      <c r="AB51" s="1384" t="s">
        <v>178</v>
      </c>
      <c r="AC51" s="1384"/>
      <c r="AD51" s="1384"/>
      <c r="AE51" s="436" t="s">
        <v>179</v>
      </c>
      <c r="AF51" s="429"/>
      <c r="AG51" s="152"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4">
        <v>20.4</v>
      </c>
      <c r="S52" s="1257" t="s">
        <v>111</v>
      </c>
      <c r="T52" s="1258" t="s">
        <v>112</v>
      </c>
      <c r="AB52" s="1386" t="s">
        <v>182</v>
      </c>
      <c r="AC52" s="1384"/>
      <c r="AD52" s="1384"/>
      <c r="AE52" s="438" t="s">
        <v>183</v>
      </c>
      <c r="AF52" s="429"/>
      <c r="AG52" s="152"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4">
        <v>20.4</v>
      </c>
      <c r="S53" s="1257" t="s">
        <v>186</v>
      </c>
      <c r="T53" s="1258" t="s">
        <v>187</v>
      </c>
      <c r="AB53" s="1384" t="s">
        <v>188</v>
      </c>
      <c r="AC53" s="1384"/>
      <c r="AD53" s="182" t="s">
        <v>189</v>
      </c>
      <c r="AE53" s="439" t="s">
        <v>190</v>
      </c>
      <c r="AF53" s="429"/>
      <c r="AG53" s="152"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98"/>
      <c r="B54" s="909">
        <f>STATE_SHARE_EXISTENCE&lt;&gt;"нет"</f>
        <v>0</v>
      </c>
      <c r="C54" s="1498"/>
      <c r="D54" s="1498"/>
      <c r="E54" s="794">
        <v>20.4</v>
      </c>
      <c r="F54" s="963"/>
      <c r="G54" s="1498"/>
      <c r="H54" s="1498"/>
      <c r="I54" s="1498"/>
      <c r="J54" s="1498"/>
      <c r="K54" s="1498"/>
      <c r="L54" s="1498"/>
      <c r="M54" s="1498"/>
      <c r="N54" s="1498"/>
      <c r="O54" s="1498"/>
      <c r="P54" s="1498"/>
      <c r="Q54" s="1498"/>
      <c r="R54" s="1498"/>
      <c r="S54" s="1257" t="s">
        <v>111</v>
      </c>
      <c r="T54" s="1258" t="s">
        <v>112</v>
      </c>
      <c r="U54" s="1498"/>
      <c r="V54" s="1498"/>
      <c r="W54" s="1498"/>
      <c r="X54" s="1498"/>
      <c r="Y54" s="1498"/>
      <c r="Z54" s="1498"/>
      <c r="AA54" s="817"/>
      <c r="AB54" s="1384"/>
      <c r="AC54" s="1384"/>
      <c r="AD54" s="182" t="s">
        <v>193</v>
      </c>
      <c r="AE54" s="1572"/>
      <c r="AF54" s="429"/>
      <c r="AG54" s="152" t="s">
        <v>194</v>
      </c>
      <c r="AH54" s="1512"/>
      <c r="AI54" s="1512"/>
      <c r="AJ54" s="1512"/>
      <c r="AK54" s="1512"/>
      <c r="AL54" s="1512"/>
      <c r="AM54" s="1512"/>
      <c r="AN54" s="1512"/>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98"/>
      <c r="B55" s="909">
        <f>STATE_SHARE_EXISTENCE&lt;&gt;"нет"</f>
        <v>0</v>
      </c>
      <c r="C55" s="1498"/>
      <c r="D55" s="1498"/>
      <c r="E55" s="794">
        <v>20.4</v>
      </c>
      <c r="F55" s="963"/>
      <c r="G55" s="1498"/>
      <c r="H55" s="1498"/>
      <c r="I55" s="1498"/>
      <c r="J55" s="1498"/>
      <c r="K55" s="1498"/>
      <c r="L55" s="1498"/>
      <c r="M55" s="1498"/>
      <c r="N55" s="1498"/>
      <c r="O55" s="1498"/>
      <c r="P55" s="1498"/>
      <c r="Q55" s="1498"/>
      <c r="R55" s="1498"/>
      <c r="S55" s="1257" t="s">
        <v>111</v>
      </c>
      <c r="T55" s="1258" t="s">
        <v>112</v>
      </c>
      <c r="U55" s="1498"/>
      <c r="V55" s="1498"/>
      <c r="W55" s="1498"/>
      <c r="X55" s="1498"/>
      <c r="Y55" s="1498"/>
      <c r="Z55" s="1498"/>
      <c r="AA55" s="817"/>
      <c r="AB55" s="1384"/>
      <c r="AC55" s="1384"/>
      <c r="AD55" s="182" t="s">
        <v>196</v>
      </c>
      <c r="AE55" s="1572"/>
      <c r="AF55" s="429"/>
      <c r="AG55" s="152" t="s">
        <v>197</v>
      </c>
      <c r="AH55" s="1512"/>
      <c r="AI55" s="1512"/>
      <c r="AJ55" s="1512"/>
      <c r="AK55" s="1512"/>
      <c r="AL55" s="1512"/>
      <c r="AM55" s="1512"/>
      <c r="AN55" s="1512"/>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4">
        <v>24.6</v>
      </c>
      <c r="S56" s="1257" t="s">
        <v>186</v>
      </c>
      <c r="T56" s="1258" t="s">
        <v>187</v>
      </c>
      <c r="AB56" s="1386" t="s">
        <v>199</v>
      </c>
      <c r="AC56" s="1384"/>
      <c r="AD56" s="1384"/>
      <c r="AE56" s="439" t="s">
        <v>200</v>
      </c>
      <c r="AF56" s="434"/>
      <c r="AG56" s="152"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203</v>
      </c>
      <c r="AC57" s="1384"/>
      <c r="AD57" s="1384"/>
      <c r="AE57" s="439" t="s">
        <v>204</v>
      </c>
      <c r="AF57" s="434"/>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4">
        <v>20.4</v>
      </c>
      <c r="S58" s="1257" t="s">
        <v>186</v>
      </c>
      <c r="T58" s="1258" t="s">
        <v>187</v>
      </c>
      <c r="AB58" s="1386" t="s">
        <v>206</v>
      </c>
      <c r="AC58" s="1384"/>
      <c r="AD58" s="1384"/>
      <c r="AE58" s="439" t="s">
        <v>200</v>
      </c>
      <c r="AF58" s="429"/>
      <c r="AG58" s="152"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4">
        <v>24.6</v>
      </c>
      <c r="S59" s="1257" t="s">
        <v>186</v>
      </c>
      <c r="T59" s="1258" t="s">
        <v>187</v>
      </c>
      <c r="AB59" s="1386" t="s">
        <v>208</v>
      </c>
      <c r="AC59" s="1384"/>
      <c r="AD59" s="1384"/>
      <c r="AE59" s="439" t="s">
        <v>200</v>
      </c>
      <c r="AF59" s="434"/>
      <c r="AG59" s="152"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4">
        <v>20.4</v>
      </c>
      <c r="F60" s="211" t="s">
        <v>211</v>
      </c>
      <c r="S60" s="1257" t="s">
        <v>186</v>
      </c>
      <c r="T60" s="1258" t="s">
        <v>187</v>
      </c>
      <c r="AB60" s="1386" t="s">
        <v>212</v>
      </c>
      <c r="AC60" s="1384"/>
      <c r="AD60" s="1384"/>
      <c r="AE60" s="439" t="s">
        <v>200</v>
      </c>
      <c r="AF60" s="429"/>
      <c r="AG60" s="152"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4">
        <v>20.4</v>
      </c>
      <c r="S61" s="1257" t="s">
        <v>215</v>
      </c>
      <c r="T61" s="1258" t="s">
        <v>216</v>
      </c>
      <c r="AB61" s="1386" t="s">
        <v>217</v>
      </c>
      <c r="AC61" s="1384"/>
      <c r="AD61" s="1384"/>
      <c r="AE61" s="1576" t="s">
        <v>218</v>
      </c>
      <c r="AF61" s="429"/>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219</v>
      </c>
      <c r="AB62" s="1421" t="s">
        <v>217</v>
      </c>
      <c r="AC62" s="1421"/>
      <c r="AD62" s="1421"/>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221</v>
      </c>
      <c r="S64" s="1257" t="s">
        <v>186</v>
      </c>
      <c r="T64" s="1258" t="s">
        <v>187</v>
      </c>
      <c r="AB64" s="1384" t="s">
        <v>222</v>
      </c>
      <c r="AC64" s="1384"/>
      <c r="AD64" s="1384"/>
      <c r="AE64" s="439" t="s">
        <v>190</v>
      </c>
      <c r="AF64" s="429"/>
      <c r="AG64" s="152"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4">
        <v>0</v>
      </c>
      <c r="S65" s="1257"/>
      <c r="T65" s="1258"/>
      <c r="AB65" s="1384"/>
      <c r="AC65" s="1384"/>
      <c r="AD65" s="1384"/>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383"/>
      <c r="AC66" s="1384"/>
      <c r="AD66" s="1384"/>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383"/>
      <c r="AC67" s="1384"/>
      <c r="AD67" s="1384"/>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383"/>
      <c r="AC68" s="1384"/>
      <c r="AD68" s="1384"/>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383"/>
      <c r="AC69" s="1384"/>
      <c r="AD69" s="1384"/>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383"/>
      <c r="AC70" s="1384"/>
      <c r="AD70" s="1384"/>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4"/>
      <c r="AC72" s="1384"/>
      <c r="AD72" s="1384"/>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98"/>
      <c r="B73" s="909">
        <f>HAS_DOC3="да"</f>
        <v>0</v>
      </c>
      <c r="C73" s="1498"/>
      <c r="D73" s="1498"/>
      <c r="E73" s="794">
        <v>20.4</v>
      </c>
      <c r="F73" s="963"/>
      <c r="G73" s="1498"/>
      <c r="H73" s="1498"/>
      <c r="I73" s="1498"/>
      <c r="J73" s="1498"/>
      <c r="K73" s="1498"/>
      <c r="L73" s="1498"/>
      <c r="M73" s="1498"/>
      <c r="N73" s="1498"/>
      <c r="O73" s="1498"/>
      <c r="P73" s="1498"/>
      <c r="Q73" s="1498"/>
      <c r="R73" s="1498"/>
      <c r="S73" s="1257" t="s">
        <v>111</v>
      </c>
      <c r="T73" s="1258" t="s">
        <v>112</v>
      </c>
      <c r="U73" s="1498"/>
      <c r="V73" s="1498"/>
      <c r="W73" s="1498"/>
      <c r="X73" s="1498"/>
      <c r="Y73" s="1498"/>
      <c r="Z73" s="1498"/>
      <c r="AA73" s="817"/>
      <c r="AB73" s="1383" t="s">
        <v>225</v>
      </c>
      <c r="AC73" s="1384" t="s">
        <v>226</v>
      </c>
      <c r="AD73" s="1384"/>
      <c r="AE73" s="1578"/>
      <c r="AF73" s="429"/>
      <c r="AG73" s="1512"/>
      <c r="AH73" s="1512"/>
      <c r="AI73" s="1512"/>
      <c r="AJ73" s="1512"/>
      <c r="AK73" s="1512"/>
      <c r="AL73" s="1512"/>
      <c r="AM73" s="1512"/>
      <c r="AN73" s="1512"/>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98"/>
      <c r="B74" s="909">
        <f>HAS_DOC3="да"</f>
        <v>0</v>
      </c>
      <c r="C74" s="1498"/>
      <c r="D74" s="1498"/>
      <c r="E74" s="794">
        <v>20.4</v>
      </c>
      <c r="F74" s="963"/>
      <c r="G74" s="1498"/>
      <c r="H74" s="1498"/>
      <c r="I74" s="1498"/>
      <c r="J74" s="1498"/>
      <c r="K74" s="1498"/>
      <c r="L74" s="1498"/>
      <c r="M74" s="1498"/>
      <c r="N74" s="1498"/>
      <c r="O74" s="1498"/>
      <c r="P74" s="1498"/>
      <c r="Q74" s="1498"/>
      <c r="R74" s="1498"/>
      <c r="S74" s="1257" t="s">
        <v>111</v>
      </c>
      <c r="T74" s="1258" t="s">
        <v>112</v>
      </c>
      <c r="U74" s="1498"/>
      <c r="V74" s="1498"/>
      <c r="W74" s="1498"/>
      <c r="X74" s="1498"/>
      <c r="Y74" s="1498"/>
      <c r="Z74" s="1498"/>
      <c r="AA74" s="817"/>
      <c r="AB74" s="1383"/>
      <c r="AC74" s="1384" t="s">
        <v>228</v>
      </c>
      <c r="AD74" s="1384"/>
      <c r="AE74" s="1579"/>
      <c r="AF74" s="429"/>
      <c r="AG74" s="1512"/>
      <c r="AH74" s="1512"/>
      <c r="AI74" s="1512"/>
      <c r="AJ74" s="1512"/>
      <c r="AK74" s="1512"/>
      <c r="AL74" s="1512"/>
      <c r="AM74" s="1512"/>
      <c r="AN74" s="1512"/>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98"/>
      <c r="B75" s="909">
        <f>HAS_DOC3="да"</f>
        <v>0</v>
      </c>
      <c r="C75" s="1498"/>
      <c r="D75" s="1498"/>
      <c r="E75" s="794">
        <v>20.4</v>
      </c>
      <c r="F75" s="963"/>
      <c r="G75" s="1498"/>
      <c r="H75" s="1498"/>
      <c r="I75" s="1498"/>
      <c r="J75" s="1498"/>
      <c r="K75" s="1498"/>
      <c r="L75" s="1498"/>
      <c r="M75" s="1498"/>
      <c r="N75" s="1498"/>
      <c r="O75" s="1498"/>
      <c r="P75" s="1498"/>
      <c r="Q75" s="1498"/>
      <c r="R75" s="1498"/>
      <c r="S75" s="1257" t="s">
        <v>111</v>
      </c>
      <c r="T75" s="1258" t="s">
        <v>112</v>
      </c>
      <c r="U75" s="1498"/>
      <c r="V75" s="1498"/>
      <c r="W75" s="1498"/>
      <c r="X75" s="1498"/>
      <c r="Y75" s="1498"/>
      <c r="Z75" s="1498"/>
      <c r="AA75" s="817"/>
      <c r="AB75" s="1383"/>
      <c r="AC75" s="1386" t="s">
        <v>230</v>
      </c>
      <c r="AD75" s="1384"/>
      <c r="AE75" s="1578"/>
      <c r="AF75" s="429"/>
      <c r="AG75" s="1512"/>
      <c r="AH75" s="1512"/>
      <c r="AI75" s="1512"/>
      <c r="AJ75" s="1512"/>
      <c r="AK75" s="1512"/>
      <c r="AL75" s="1512"/>
      <c r="AM75" s="1512"/>
      <c r="AN75" s="1512"/>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98"/>
      <c r="B76" s="909">
        <f>HAS_DOC3="да"</f>
        <v>0</v>
      </c>
      <c r="C76" s="1498"/>
      <c r="D76" s="1498"/>
      <c r="E76" s="794">
        <v>20.4</v>
      </c>
      <c r="F76" s="963"/>
      <c r="G76" s="1498"/>
      <c r="H76" s="1498"/>
      <c r="I76" s="1498"/>
      <c r="J76" s="1498"/>
      <c r="K76" s="1498"/>
      <c r="L76" s="1498"/>
      <c r="M76" s="1498"/>
      <c r="N76" s="1498"/>
      <c r="O76" s="1498"/>
      <c r="P76" s="1498"/>
      <c r="Q76" s="1498"/>
      <c r="R76" s="1498"/>
      <c r="S76" s="1257" t="s">
        <v>111</v>
      </c>
      <c r="T76" s="1258" t="s">
        <v>112</v>
      </c>
      <c r="U76" s="1498"/>
      <c r="V76" s="1498"/>
      <c r="W76" s="1498"/>
      <c r="X76" s="1498"/>
      <c r="Y76" s="1498"/>
      <c r="Z76" s="1498"/>
      <c r="AA76" s="817"/>
      <c r="AB76" s="1383"/>
      <c r="AC76" s="1384" t="s">
        <v>232</v>
      </c>
      <c r="AD76" s="1384"/>
      <c r="AE76" s="1581"/>
      <c r="AF76" s="429"/>
      <c r="AG76" s="1512"/>
      <c r="AH76" s="1512"/>
      <c r="AI76" s="1512"/>
      <c r="AJ76" s="1512"/>
      <c r="AK76" s="1512"/>
      <c r="AL76" s="1512"/>
      <c r="AM76" s="1512"/>
      <c r="AN76" s="1512"/>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98"/>
      <c r="B77" s="909">
        <f>HAS_DOC3="да"</f>
        <v>0</v>
      </c>
      <c r="C77" s="1498"/>
      <c r="D77" s="1498"/>
      <c r="E77" s="794">
        <v>20.4</v>
      </c>
      <c r="F77" s="963"/>
      <c r="G77" s="1498"/>
      <c r="H77" s="1498"/>
      <c r="I77" s="1498"/>
      <c r="J77" s="1498"/>
      <c r="K77" s="1498"/>
      <c r="L77" s="1498"/>
      <c r="M77" s="1498"/>
      <c r="N77" s="1498"/>
      <c r="O77" s="1498"/>
      <c r="P77" s="1498"/>
      <c r="Q77" s="1498"/>
      <c r="R77" s="1498"/>
      <c r="S77" s="1257" t="s">
        <v>215</v>
      </c>
      <c r="T77" s="1258" t="s">
        <v>216</v>
      </c>
      <c r="U77" s="1498"/>
      <c r="V77" s="1498"/>
      <c r="W77" s="1498"/>
      <c r="X77" s="1498"/>
      <c r="Y77" s="1498"/>
      <c r="Z77" s="1498"/>
      <c r="AA77" s="817"/>
      <c r="AB77" s="1383"/>
      <c r="AC77" s="1386" t="s">
        <v>215</v>
      </c>
      <c r="AD77" s="1384"/>
      <c r="AE77" s="1582"/>
      <c r="AF77" s="429"/>
      <c r="AG77" s="190"/>
      <c r="AH77" s="1512"/>
      <c r="AI77" s="1512"/>
      <c r="AJ77" s="1512"/>
      <c r="AK77" s="1512"/>
      <c r="AL77" s="1512"/>
      <c r="AM77" s="1512"/>
      <c r="AN77" s="1512"/>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98"/>
      <c r="B78" s="909">
        <f>HAS_DOC3="да"</f>
        <v>0</v>
      </c>
      <c r="C78" s="1498"/>
      <c r="D78" s="1498"/>
      <c r="E78" s="794">
        <v>20.4</v>
      </c>
      <c r="F78" s="963"/>
      <c r="G78" s="1498"/>
      <c r="H78" s="1498"/>
      <c r="I78" s="1498"/>
      <c r="J78" s="1498"/>
      <c r="K78" s="1498"/>
      <c r="L78" s="1498"/>
      <c r="M78" s="1498"/>
      <c r="N78" s="1498"/>
      <c r="O78" s="1498"/>
      <c r="P78" s="1498"/>
      <c r="Q78" s="1498"/>
      <c r="R78" s="1498"/>
      <c r="S78" s="1257" t="s">
        <v>111</v>
      </c>
      <c r="T78" s="1258" t="s">
        <v>112</v>
      </c>
      <c r="U78" s="1498"/>
      <c r="V78" s="1498"/>
      <c r="W78" s="816">
        <f>ROW(Y78)&gt;ROW(Y$78)</f>
        <v>0</v>
      </c>
      <c r="X78" s="1498"/>
      <c r="Y78" s="176" t="s">
        <v>235</v>
      </c>
      <c r="Z78" s="1498"/>
      <c r="AA78" s="1385" t="s">
        <v>219</v>
      </c>
      <c r="AB78" s="1422" t="s">
        <v>225</v>
      </c>
      <c r="AC78" s="1386" t="s">
        <v>226</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98"/>
      <c r="B79" s="909">
        <f>HAS_DOC3="да"</f>
        <v>0</v>
      </c>
      <c r="C79" s="1498"/>
      <c r="D79" s="1498"/>
      <c r="E79" s="794">
        <v>20.4</v>
      </c>
      <c r="F79" s="963"/>
      <c r="G79" s="1498"/>
      <c r="H79" s="1498"/>
      <c r="I79" s="1498"/>
      <c r="J79" s="1498"/>
      <c r="K79" s="1498"/>
      <c r="L79" s="1498"/>
      <c r="M79" s="1498"/>
      <c r="N79" s="1498"/>
      <c r="O79" s="1498"/>
      <c r="P79" s="1498"/>
      <c r="Q79" s="1498"/>
      <c r="R79" s="1498"/>
      <c r="S79" s="1257" t="s">
        <v>111</v>
      </c>
      <c r="T79" s="1258" t="s">
        <v>112</v>
      </c>
      <c r="U79" s="1498"/>
      <c r="V79" s="1498"/>
      <c r="W79" s="816" cm="1" t="str">
        <f t="array" ref="W79:W79">W78</f>
        <v>false</v>
      </c>
      <c r="X79" s="1498"/>
      <c r="Y79" s="1498"/>
      <c r="Z79" s="1498"/>
      <c r="AA79" s="1385"/>
      <c r="AB79" s="1422"/>
      <c r="AC79" s="1386" t="s">
        <v>228</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98"/>
      <c r="B80" s="909">
        <f>HAS_DOC3="да"</f>
        <v>0</v>
      </c>
      <c r="C80" s="1498"/>
      <c r="D80" s="1498"/>
      <c r="E80" s="794">
        <v>20.4</v>
      </c>
      <c r="F80" s="963"/>
      <c r="G80" s="1498"/>
      <c r="H80" s="1498"/>
      <c r="I80" s="1498"/>
      <c r="J80" s="1498"/>
      <c r="K80" s="1498"/>
      <c r="L80" s="1498"/>
      <c r="M80" s="1498"/>
      <c r="N80" s="1498"/>
      <c r="O80" s="1498"/>
      <c r="P80" s="1498"/>
      <c r="Q80" s="1498"/>
      <c r="R80" s="1498"/>
      <c r="S80" s="1257" t="s">
        <v>111</v>
      </c>
      <c r="T80" s="1258" t="s">
        <v>112</v>
      </c>
      <c r="U80" s="1498"/>
      <c r="V80" s="1498"/>
      <c r="W80" s="816" cm="1" t="str">
        <f t="array" ref="W80:W80">W79</f>
        <v>false</v>
      </c>
      <c r="X80" s="1498"/>
      <c r="Y80" s="1498"/>
      <c r="Z80" s="1498"/>
      <c r="AA80" s="1385"/>
      <c r="AB80" s="1422"/>
      <c r="AC80" s="1386" t="s">
        <v>230</v>
      </c>
      <c r="AD80" s="1384"/>
      <c r="AE80" s="1587"/>
      <c r="AF80" s="429"/>
      <c r="AG80" s="190"/>
      <c r="AH80" s="1512"/>
      <c r="AI80" s="1512"/>
      <c r="AJ80" s="1512"/>
      <c r="AK80" s="1512"/>
      <c r="AL80" s="1512"/>
      <c r="AM80" s="1512"/>
      <c r="AN80" s="1512"/>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98"/>
      <c r="B81" s="909">
        <f>HAS_DOC3="да"</f>
        <v>0</v>
      </c>
      <c r="C81" s="1498"/>
      <c r="D81" s="1498"/>
      <c r="E81" s="794">
        <v>20.4</v>
      </c>
      <c r="F81" s="963"/>
      <c r="G81" s="1498"/>
      <c r="H81" s="1498"/>
      <c r="I81" s="1498"/>
      <c r="J81" s="1498"/>
      <c r="K81" s="1498"/>
      <c r="L81" s="1498"/>
      <c r="M81" s="1498"/>
      <c r="N81" s="1498"/>
      <c r="O81" s="1498"/>
      <c r="P81" s="1498"/>
      <c r="Q81" s="1498"/>
      <c r="R81" s="1498"/>
      <c r="S81" s="1257" t="s">
        <v>111</v>
      </c>
      <c r="T81" s="1258" t="s">
        <v>112</v>
      </c>
      <c r="U81" s="1498"/>
      <c r="V81" s="1498"/>
      <c r="W81" s="816" cm="1" t="str">
        <f t="array" ref="W81:W81">W80</f>
        <v>false</v>
      </c>
      <c r="X81" s="1498"/>
      <c r="Y81" s="1498"/>
      <c r="Z81" s="1498"/>
      <c r="AA81" s="1385"/>
      <c r="AB81" s="1422"/>
      <c r="AC81" s="1386" t="s">
        <v>232</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98"/>
      <c r="B82" s="909">
        <f>HAS_DOC3="да"</f>
        <v>0</v>
      </c>
      <c r="C82" s="1498"/>
      <c r="D82" s="1498"/>
      <c r="E82" s="794">
        <v>20.4</v>
      </c>
      <c r="F82" s="963"/>
      <c r="G82" s="1498"/>
      <c r="H82" s="1498"/>
      <c r="I82" s="1498"/>
      <c r="J82" s="1498"/>
      <c r="K82" s="1498"/>
      <c r="L82" s="1498"/>
      <c r="M82" s="1498"/>
      <c r="N82" s="1498"/>
      <c r="O82" s="1498"/>
      <c r="P82" s="1498"/>
      <c r="Q82" s="1498"/>
      <c r="R82" s="1498"/>
      <c r="S82" s="1257" t="s">
        <v>215</v>
      </c>
      <c r="T82" s="1258" t="s">
        <v>216</v>
      </c>
      <c r="U82" s="1498"/>
      <c r="V82" s="1498"/>
      <c r="W82" s="816" cm="1" t="str">
        <f t="array" ref="W82:W82">W81</f>
        <v>false</v>
      </c>
      <c r="X82" s="1498"/>
      <c r="Y82" s="1498"/>
      <c r="Z82" s="1498"/>
      <c r="AA82" s="1385"/>
      <c r="AB82" s="1422"/>
      <c r="AC82" s="1386" t="s">
        <v>215</v>
      </c>
      <c r="AD82" s="1384"/>
      <c r="AE82" s="1591"/>
      <c r="AF82" s="429"/>
      <c r="AG82" s="190"/>
      <c r="AH82" s="1512"/>
      <c r="AI82" s="1512"/>
      <c r="AJ82" s="1512"/>
      <c r="AK82" s="1512"/>
      <c r="AL82" s="1512"/>
      <c r="AM82" s="1512"/>
      <c r="AN82" s="1512"/>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98"/>
      <c r="B83" s="909">
        <f>HAS_DOC3="да"</f>
        <v>0</v>
      </c>
      <c r="C83" s="1498"/>
      <c r="D83" s="1498"/>
      <c r="E83" s="794">
        <v>15</v>
      </c>
      <c r="F83" s="211" t="s">
        <v>221</v>
      </c>
      <c r="G83" s="1498"/>
      <c r="H83" s="1498"/>
      <c r="I83" s="1498"/>
      <c r="J83" s="1498"/>
      <c r="K83" s="1498"/>
      <c r="L83" s="1498"/>
      <c r="M83" s="1498"/>
      <c r="N83" s="1498"/>
      <c r="O83" s="1498"/>
      <c r="P83" s="1498"/>
      <c r="Q83" s="1498"/>
      <c r="R83" s="1498"/>
      <c r="S83" s="1263"/>
      <c r="T83" s="1264"/>
      <c r="U83" s="1498"/>
      <c r="V83" s="1498"/>
      <c r="W83" s="1498"/>
      <c r="X83" s="1498"/>
      <c r="Y83" s="371" t="s">
        <v>236</v>
      </c>
      <c r="Z83" s="1498"/>
      <c r="AA83" s="817"/>
      <c r="AB83" s="339"/>
      <c r="AC83" s="338"/>
      <c r="AD83" s="338"/>
      <c r="AE83" s="337" t="s">
        <v>237</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238</v>
      </c>
      <c r="S84" s="1257" t="s">
        <v>186</v>
      </c>
      <c r="T84" s="1258" t="s">
        <v>187</v>
      </c>
      <c r="AB84" s="1386" t="s">
        <v>239</v>
      </c>
      <c r="AC84" s="1384"/>
      <c r="AD84" s="1384"/>
      <c r="AE84" s="439" t="s">
        <v>190</v>
      </c>
      <c r="AF84" s="429"/>
      <c r="AG84" s="152"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hidden="1">
      <c r="A85" s="1498"/>
      <c r="B85" s="909">
        <f>HAS_DOC4="да"</f>
        <v>0</v>
      </c>
      <c r="C85" s="1498"/>
      <c r="D85" s="1498"/>
      <c r="E85" s="794">
        <v>20.4</v>
      </c>
      <c r="F85" s="963"/>
      <c r="G85" s="1498"/>
      <c r="H85" s="1498"/>
      <c r="I85" s="1498"/>
      <c r="J85" s="1498"/>
      <c r="K85" s="1498"/>
      <c r="L85" s="1498"/>
      <c r="M85" s="1498"/>
      <c r="N85" s="1498"/>
      <c r="O85" s="1498"/>
      <c r="P85" s="1498"/>
      <c r="Q85" s="1498"/>
      <c r="R85" s="1498"/>
      <c r="S85" s="1257" t="s">
        <v>111</v>
      </c>
      <c r="T85" s="1258" t="s">
        <v>112</v>
      </c>
      <c r="U85" s="1498"/>
      <c r="V85" s="1498"/>
      <c r="W85" s="1498"/>
      <c r="X85" s="1498"/>
      <c r="Y85" s="1498"/>
      <c r="Z85" s="1498"/>
      <c r="AA85" s="817"/>
      <c r="AB85" s="1383" t="s">
        <v>225</v>
      </c>
      <c r="AC85" s="1384" t="s">
        <v>226</v>
      </c>
      <c r="AD85" s="1384"/>
      <c r="AE85" s="466" t="s">
        <v>242</v>
      </c>
      <c r="AF85" s="429"/>
      <c r="AG85" s="1512"/>
      <c r="AH85" s="1512"/>
      <c r="AI85" s="1512"/>
      <c r="AJ85" s="1512"/>
      <c r="AK85" s="1512"/>
      <c r="AL85" s="1512"/>
      <c r="AM85" s="1512"/>
      <c r="AN85" s="1512"/>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hidden="1">
      <c r="A86" s="1498"/>
      <c r="B86" s="909">
        <f>HAS_DOC4="да"</f>
        <v>0</v>
      </c>
      <c r="C86" s="1498"/>
      <c r="D86" s="1498"/>
      <c r="E86" s="794">
        <v>20.4</v>
      </c>
      <c r="F86" s="963"/>
      <c r="G86" s="1498"/>
      <c r="H86" s="1498"/>
      <c r="I86" s="1498"/>
      <c r="J86" s="1498"/>
      <c r="K86" s="1498"/>
      <c r="L86" s="1498"/>
      <c r="M86" s="1498"/>
      <c r="N86" s="1498"/>
      <c r="O86" s="1498"/>
      <c r="P86" s="1498"/>
      <c r="Q86" s="1498"/>
      <c r="R86" s="1498"/>
      <c r="S86" s="1257" t="s">
        <v>111</v>
      </c>
      <c r="T86" s="1258" t="s">
        <v>112</v>
      </c>
      <c r="U86" s="1498"/>
      <c r="V86" s="1498"/>
      <c r="W86" s="1498"/>
      <c r="X86" s="1498"/>
      <c r="Y86" s="1498"/>
      <c r="Z86" s="1498"/>
      <c r="AA86" s="817"/>
      <c r="AB86" s="1383"/>
      <c r="AC86" s="1384" t="s">
        <v>228</v>
      </c>
      <c r="AD86" s="1384"/>
      <c r="AE86" s="467" t="s">
        <v>242</v>
      </c>
      <c r="AF86" s="429"/>
      <c r="AG86" s="1512"/>
      <c r="AH86" s="1512"/>
      <c r="AI86" s="1512"/>
      <c r="AJ86" s="1512"/>
      <c r="AK86" s="1512"/>
      <c r="AL86" s="1512"/>
      <c r="AM86" s="1512"/>
      <c r="AN86" s="1512"/>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hidden="1">
      <c r="A87" s="1498"/>
      <c r="B87" s="909">
        <f>HAS_DOC4="да"</f>
        <v>0</v>
      </c>
      <c r="C87" s="1498"/>
      <c r="D87" s="1498"/>
      <c r="E87" s="794">
        <v>20.4</v>
      </c>
      <c r="F87" s="963"/>
      <c r="G87" s="1498"/>
      <c r="H87" s="1498"/>
      <c r="I87" s="1498"/>
      <c r="J87" s="1498"/>
      <c r="K87" s="1498"/>
      <c r="L87" s="1498"/>
      <c r="M87" s="1498"/>
      <c r="N87" s="1498"/>
      <c r="O87" s="1498"/>
      <c r="P87" s="1498"/>
      <c r="Q87" s="1498"/>
      <c r="R87" s="1498"/>
      <c r="S87" s="1257" t="s">
        <v>111</v>
      </c>
      <c r="T87" s="1258" t="s">
        <v>112</v>
      </c>
      <c r="U87" s="1498"/>
      <c r="V87" s="1498"/>
      <c r="W87" s="1498"/>
      <c r="X87" s="1498"/>
      <c r="Y87" s="1498"/>
      <c r="Z87" s="1498"/>
      <c r="AA87" s="817"/>
      <c r="AB87" s="1383"/>
      <c r="AC87" s="1386" t="s">
        <v>230</v>
      </c>
      <c r="AD87" s="1384"/>
      <c r="AE87" s="466" t="s">
        <v>242</v>
      </c>
      <c r="AF87" s="429"/>
      <c r="AG87" s="1512"/>
      <c r="AH87" s="1512"/>
      <c r="AI87" s="1512"/>
      <c r="AJ87" s="1512"/>
      <c r="AK87" s="1512"/>
      <c r="AL87" s="1512"/>
      <c r="AM87" s="1512"/>
      <c r="AN87" s="1512"/>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hidden="1">
      <c r="A88" s="1498"/>
      <c r="B88" s="909">
        <f>HAS_DOC4="да"</f>
        <v>0</v>
      </c>
      <c r="C88" s="1498"/>
      <c r="D88" s="1498"/>
      <c r="E88" s="794">
        <v>20.4</v>
      </c>
      <c r="F88" s="963"/>
      <c r="G88" s="1498"/>
      <c r="H88" s="1498"/>
      <c r="I88" s="1498"/>
      <c r="J88" s="1498"/>
      <c r="K88" s="1498"/>
      <c r="L88" s="1498"/>
      <c r="M88" s="1498"/>
      <c r="N88" s="1498"/>
      <c r="O88" s="1498"/>
      <c r="P88" s="1498"/>
      <c r="Q88" s="1498"/>
      <c r="R88" s="1498"/>
      <c r="S88" s="1257" t="s">
        <v>111</v>
      </c>
      <c r="T88" s="1258" t="s">
        <v>112</v>
      </c>
      <c r="U88" s="1498"/>
      <c r="V88" s="1498"/>
      <c r="W88" s="1498"/>
      <c r="X88" s="1498"/>
      <c r="Y88" s="1498"/>
      <c r="Z88" s="1498"/>
      <c r="AA88" s="817"/>
      <c r="AB88" s="1383"/>
      <c r="AC88" s="1384" t="s">
        <v>232</v>
      </c>
      <c r="AD88" s="1384"/>
      <c r="AE88" s="904" t="s">
        <v>242</v>
      </c>
      <c r="AF88" s="429"/>
      <c r="AG88" s="1512"/>
      <c r="AH88" s="1512"/>
      <c r="AI88" s="1512"/>
      <c r="AJ88" s="1512"/>
      <c r="AK88" s="1512"/>
      <c r="AL88" s="1512"/>
      <c r="AM88" s="1512"/>
      <c r="AN88" s="1512"/>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hidden="1">
      <c r="A89" s="1498"/>
      <c r="B89" s="909">
        <f>HAS_DOC4="да"</f>
        <v>0</v>
      </c>
      <c r="C89" s="1498"/>
      <c r="D89" s="1498"/>
      <c r="E89" s="794">
        <v>20.4</v>
      </c>
      <c r="F89" s="963"/>
      <c r="G89" s="1498"/>
      <c r="H89" s="1498"/>
      <c r="I89" s="1498"/>
      <c r="J89" s="1498"/>
      <c r="K89" s="1498"/>
      <c r="L89" s="1498"/>
      <c r="M89" s="1498"/>
      <c r="N89" s="1498"/>
      <c r="O89" s="1498"/>
      <c r="P89" s="1498"/>
      <c r="Q89" s="1498"/>
      <c r="R89" s="1498"/>
      <c r="S89" s="1257" t="s">
        <v>215</v>
      </c>
      <c r="T89" s="1258" t="s">
        <v>216</v>
      </c>
      <c r="U89" s="1498"/>
      <c r="V89" s="1498"/>
      <c r="W89" s="1498"/>
      <c r="X89" s="1498"/>
      <c r="Y89" s="1498"/>
      <c r="Z89" s="1498"/>
      <c r="AA89" s="817"/>
      <c r="AB89" s="1383"/>
      <c r="AC89" s="1386" t="s">
        <v>215</v>
      </c>
      <c r="AD89" s="1384"/>
      <c r="AE89" s="465" t="s">
        <v>242</v>
      </c>
      <c r="AF89" s="429"/>
      <c r="AG89" s="190"/>
      <c r="AH89" s="1512"/>
      <c r="AI89" s="1512"/>
      <c r="AJ89" s="1512"/>
      <c r="AK89" s="1512"/>
      <c r="AL89" s="1512"/>
      <c r="AM89" s="1512"/>
      <c r="AN89" s="1512"/>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98"/>
      <c r="B90" s="909">
        <f>HAS_DOC4="да"</f>
        <v>0</v>
      </c>
      <c r="C90" s="1498"/>
      <c r="D90" s="1498"/>
      <c r="E90" s="794">
        <v>20.4</v>
      </c>
      <c r="F90" s="963"/>
      <c r="G90" s="1498"/>
      <c r="H90" s="1498"/>
      <c r="I90" s="1498"/>
      <c r="J90" s="1498"/>
      <c r="K90" s="1498"/>
      <c r="L90" s="1498"/>
      <c r="M90" s="1498"/>
      <c r="N90" s="1498"/>
      <c r="O90" s="1498"/>
      <c r="P90" s="1498"/>
      <c r="Q90" s="1498"/>
      <c r="R90" s="1498"/>
      <c r="S90" s="1257" t="s">
        <v>111</v>
      </c>
      <c r="T90" s="1258" t="s">
        <v>112</v>
      </c>
      <c r="U90" s="1498"/>
      <c r="V90" s="1498"/>
      <c r="W90" s="816">
        <f>ROW(Y90)&gt;ROW(Y$90)</f>
        <v>0</v>
      </c>
      <c r="X90" s="1498"/>
      <c r="Y90" s="176" t="s">
        <v>235</v>
      </c>
      <c r="Z90" s="1498"/>
      <c r="AA90" s="1385" t="s">
        <v>219</v>
      </c>
      <c r="AB90" s="1383" t="s">
        <v>225</v>
      </c>
      <c r="AC90" s="1384" t="s">
        <v>226</v>
      </c>
      <c r="AD90" s="1384"/>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98"/>
      <c r="B91" s="909">
        <f>HAS_DOC4="да"</f>
        <v>0</v>
      </c>
      <c r="C91" s="1498"/>
      <c r="D91" s="1498"/>
      <c r="E91" s="794">
        <v>20.4</v>
      </c>
      <c r="F91" s="963"/>
      <c r="G91" s="1498"/>
      <c r="H91" s="1498"/>
      <c r="I91" s="1498"/>
      <c r="J91" s="1498"/>
      <c r="K91" s="1498"/>
      <c r="L91" s="1498"/>
      <c r="M91" s="1498"/>
      <c r="N91" s="1498"/>
      <c r="O91" s="1498"/>
      <c r="P91" s="1498"/>
      <c r="Q91" s="1498"/>
      <c r="R91" s="1498"/>
      <c r="S91" s="1257" t="s">
        <v>111</v>
      </c>
      <c r="T91" s="1258" t="s">
        <v>112</v>
      </c>
      <c r="U91" s="1498"/>
      <c r="V91" s="1498"/>
      <c r="W91" s="816" cm="1" t="str">
        <f t="array" ref="W91:W91">W90</f>
        <v>false</v>
      </c>
      <c r="X91" s="1498"/>
      <c r="Y91" s="1498"/>
      <c r="Z91" s="1498"/>
      <c r="AA91" s="1385"/>
      <c r="AB91" s="1383"/>
      <c r="AC91" s="1384" t="s">
        <v>228</v>
      </c>
      <c r="AD91" s="1384"/>
      <c r="AE91" s="467" t="s">
        <v>242</v>
      </c>
      <c r="AF91" s="429"/>
      <c r="AG91" s="1512"/>
      <c r="AH91" s="1512"/>
      <c r="AI91" s="1512"/>
      <c r="AJ91" s="1512"/>
      <c r="AK91" s="1512"/>
      <c r="AL91" s="1512"/>
      <c r="AM91" s="1512"/>
      <c r="AN91" s="1512"/>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98"/>
      <c r="B92" s="909">
        <f>HAS_DOC4="да"</f>
        <v>0</v>
      </c>
      <c r="C92" s="1498"/>
      <c r="D92" s="1498"/>
      <c r="E92" s="794">
        <v>20.4</v>
      </c>
      <c r="F92" s="963"/>
      <c r="G92" s="1498"/>
      <c r="H92" s="1498"/>
      <c r="I92" s="1498"/>
      <c r="J92" s="1498"/>
      <c r="K92" s="1498"/>
      <c r="L92" s="1498"/>
      <c r="M92" s="1498"/>
      <c r="N92" s="1498"/>
      <c r="O92" s="1498"/>
      <c r="P92" s="1498"/>
      <c r="Q92" s="1498"/>
      <c r="R92" s="1498"/>
      <c r="S92" s="1257" t="s">
        <v>111</v>
      </c>
      <c r="T92" s="1258" t="s">
        <v>112</v>
      </c>
      <c r="U92" s="1498"/>
      <c r="V92" s="1498"/>
      <c r="W92" s="816" cm="1" t="str">
        <f t="array" ref="W92:W92">W91</f>
        <v>false</v>
      </c>
      <c r="X92" s="1498"/>
      <c r="Y92" s="1498"/>
      <c r="Z92" s="1498"/>
      <c r="AA92" s="1385"/>
      <c r="AB92" s="1383"/>
      <c r="AC92" s="1386" t="s">
        <v>230</v>
      </c>
      <c r="AD92" s="1384"/>
      <c r="AE92" s="466" t="s">
        <v>242</v>
      </c>
      <c r="AF92" s="429"/>
      <c r="AG92" s="1512"/>
      <c r="AH92" s="1512"/>
      <c r="AI92" s="1512"/>
      <c r="AJ92" s="1512"/>
      <c r="AK92" s="1512"/>
      <c r="AL92" s="1512"/>
      <c r="AM92" s="1512"/>
      <c r="AN92" s="1512"/>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98"/>
      <c r="B93" s="909">
        <f>HAS_DOC4="да"</f>
        <v>0</v>
      </c>
      <c r="C93" s="1498"/>
      <c r="D93" s="1498"/>
      <c r="E93" s="794">
        <v>20.4</v>
      </c>
      <c r="F93" s="963"/>
      <c r="G93" s="1498"/>
      <c r="H93" s="1498"/>
      <c r="I93" s="1498"/>
      <c r="J93" s="1498"/>
      <c r="K93" s="1498"/>
      <c r="L93" s="1498"/>
      <c r="M93" s="1498"/>
      <c r="N93" s="1498"/>
      <c r="O93" s="1498"/>
      <c r="P93" s="1498"/>
      <c r="Q93" s="1498"/>
      <c r="R93" s="1498"/>
      <c r="S93" s="1257" t="s">
        <v>111</v>
      </c>
      <c r="T93" s="1258" t="s">
        <v>112</v>
      </c>
      <c r="U93" s="1498"/>
      <c r="V93" s="1498"/>
      <c r="W93" s="816" cm="1" t="str">
        <f t="array" ref="W93:W93">W92</f>
        <v>false</v>
      </c>
      <c r="X93" s="1498"/>
      <c r="Y93" s="1498"/>
      <c r="Z93" s="1498"/>
      <c r="AA93" s="1385"/>
      <c r="AB93" s="1383"/>
      <c r="AC93" s="1384" t="s">
        <v>232</v>
      </c>
      <c r="AD93" s="1384"/>
      <c r="AE93" s="904" t="s">
        <v>242</v>
      </c>
      <c r="AF93" s="429"/>
      <c r="AG93" s="1512"/>
      <c r="AH93" s="1512"/>
      <c r="AI93" s="1512"/>
      <c r="AJ93" s="1512"/>
      <c r="AK93" s="1512"/>
      <c r="AL93" s="1512"/>
      <c r="AM93" s="1512"/>
      <c r="AN93" s="1512"/>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98"/>
      <c r="B94" s="909">
        <f>HAS_DOC4="да"</f>
        <v>0</v>
      </c>
      <c r="C94" s="1498"/>
      <c r="D94" s="1498"/>
      <c r="E94" s="794">
        <v>20.4</v>
      </c>
      <c r="F94" s="963"/>
      <c r="G94" s="1498"/>
      <c r="H94" s="1498"/>
      <c r="I94" s="1498"/>
      <c r="J94" s="1498"/>
      <c r="K94" s="1498"/>
      <c r="L94" s="1498"/>
      <c r="M94" s="1498"/>
      <c r="N94" s="1498"/>
      <c r="O94" s="1498"/>
      <c r="P94" s="1498"/>
      <c r="Q94" s="1498"/>
      <c r="R94" s="1498"/>
      <c r="S94" s="1257" t="s">
        <v>215</v>
      </c>
      <c r="T94" s="1258" t="s">
        <v>216</v>
      </c>
      <c r="U94" s="1498"/>
      <c r="V94" s="1498"/>
      <c r="W94" s="816" cm="1" t="str">
        <f t="array" ref="W94:W94">W93</f>
        <v>false</v>
      </c>
      <c r="X94" s="1498"/>
      <c r="Y94" s="1498"/>
      <c r="Z94" s="1498"/>
      <c r="AA94" s="1385"/>
      <c r="AB94" s="1383"/>
      <c r="AC94" s="1386" t="s">
        <v>215</v>
      </c>
      <c r="AD94" s="1384"/>
      <c r="AE94" s="465" t="s">
        <v>242</v>
      </c>
      <c r="AF94" s="429"/>
      <c r="AG94" s="190"/>
      <c r="AH94" s="1512"/>
      <c r="AI94" s="1512"/>
      <c r="AJ94" s="1512"/>
      <c r="AK94" s="1512"/>
      <c r="AL94" s="1512"/>
      <c r="AM94" s="1512"/>
      <c r="AN94" s="1512"/>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hidden="1">
      <c r="A95" s="1498"/>
      <c r="B95" s="909">
        <f>HAS_DOC4="да"</f>
        <v>0</v>
      </c>
      <c r="C95" s="1498"/>
      <c r="D95" s="1498"/>
      <c r="E95" s="794">
        <v>15</v>
      </c>
      <c r="F95" s="211" t="s">
        <v>238</v>
      </c>
      <c r="G95" s="1498"/>
      <c r="H95" s="1498"/>
      <c r="I95" s="1498"/>
      <c r="J95" s="1498"/>
      <c r="K95" s="1498"/>
      <c r="L95" s="1498"/>
      <c r="M95" s="1498"/>
      <c r="N95" s="1498"/>
      <c r="O95" s="1498"/>
      <c r="P95" s="1498"/>
      <c r="Q95" s="1498"/>
      <c r="R95" s="1498"/>
      <c r="S95" s="1263"/>
      <c r="T95" s="1264"/>
      <c r="U95" s="1498"/>
      <c r="V95" s="1498"/>
      <c r="W95" s="1498"/>
      <c r="X95" s="1498"/>
      <c r="Y95" s="371" t="s">
        <v>236</v>
      </c>
      <c r="Z95" s="1498"/>
      <c r="AA95" s="817"/>
      <c r="AB95" s="339"/>
      <c r="AC95" s="338"/>
      <c r="AD95" s="338"/>
      <c r="AE95" s="337" t="s">
        <v>237</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243</v>
      </c>
      <c r="S96" s="1257" t="s">
        <v>186</v>
      </c>
      <c r="T96" s="1258" t="s">
        <v>187</v>
      </c>
      <c r="AB96" s="138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4"/>
      <c r="AD96" s="1384"/>
      <c r="AE96" s="439" t="s">
        <v>200</v>
      </c>
      <c r="AF96" s="434"/>
      <c r="AG96" s="152" t="s">
        <v>244</v>
      </c>
      <c r="AO96" s="1259"/>
      <c r="AP96" s="1259"/>
      <c r="AQ96" s="1259"/>
      <c r="AR96" s="1259"/>
      <c r="AS96" s="1259"/>
      <c r="AT96" s="1259"/>
      <c r="AU96" s="1259"/>
      <c r="AV96" s="1259"/>
      <c r="AW96" s="1259" t="s">
        <v>245</v>
      </c>
      <c r="AX96" s="1259" t="s">
        <v>246</v>
      </c>
      <c r="AY96" s="1259"/>
      <c r="AZ96" s="1259"/>
      <c r="BA96" s="1259"/>
      <c r="BB96" s="1259"/>
      <c r="BC96" s="1259"/>
      <c r="BD96" s="1259"/>
      <c r="BE96" s="1259"/>
    </row>
    <row customHeight="1" ht="19.89">
      <c r="A97" s="1498"/>
      <c r="B97" s="909">
        <f>HAS_DOC5="да"</f>
        <v>1</v>
      </c>
      <c r="C97" s="1498"/>
      <c r="D97" s="1498"/>
      <c r="E97" s="794">
        <v>20.4</v>
      </c>
      <c r="F97" s="963"/>
      <c r="G97" s="1498"/>
      <c r="H97" s="1498"/>
      <c r="I97" s="1498"/>
      <c r="J97" s="1498"/>
      <c r="K97" s="1498"/>
      <c r="L97" s="1498"/>
      <c r="M97" s="1498"/>
      <c r="N97" s="1498"/>
      <c r="O97" s="1498"/>
      <c r="P97" s="1498"/>
      <c r="Q97" s="1498"/>
      <c r="R97" s="1498"/>
      <c r="S97" s="1257" t="s">
        <v>111</v>
      </c>
      <c r="T97" s="1258" t="s">
        <v>112</v>
      </c>
      <c r="U97" s="1498"/>
      <c r="V97" s="1498"/>
      <c r="W97" s="1498"/>
      <c r="X97" s="1498"/>
      <c r="Y97" s="1498"/>
      <c r="Z97" s="1498"/>
      <c r="AA97" s="817"/>
      <c r="AB97" s="1383" t="s">
        <v>225</v>
      </c>
      <c r="AC97" s="1384" t="s">
        <v>226</v>
      </c>
      <c r="AD97" s="1384"/>
      <c r="AE97" s="420" t="s">
        <v>247</v>
      </c>
      <c r="AF97" s="429"/>
      <c r="AG97" s="1512"/>
      <c r="AH97" s="1512"/>
      <c r="AI97" s="1512"/>
      <c r="AJ97" s="1512"/>
      <c r="AK97" s="1512"/>
      <c r="AL97" s="1512"/>
      <c r="AM97" s="1512"/>
      <c r="AN97" s="1512"/>
      <c r="AO97" s="1259"/>
      <c r="AP97" s="1259"/>
      <c r="AQ97" s="1259"/>
      <c r="AR97" s="1259"/>
      <c r="AS97" s="1259"/>
      <c r="AT97" s="1259"/>
      <c r="AU97" s="1259" t="s">
        <v>227</v>
      </c>
      <c r="AV97" s="1259"/>
      <c r="AW97" s="1259" t="s">
        <v>245</v>
      </c>
      <c r="AX97" s="1259" t="s">
        <v>246</v>
      </c>
      <c r="AY97" s="1259"/>
      <c r="AZ97" s="1259"/>
      <c r="BA97" s="1259"/>
      <c r="BB97" s="1259"/>
      <c r="BC97" s="1259"/>
      <c r="BD97" s="1259"/>
      <c r="BE97" s="1259"/>
    </row>
    <row customHeight="1" ht="19.89">
      <c r="A98" s="1498"/>
      <c r="B98" s="909">
        <f>HAS_DOC5="да"</f>
        <v>1</v>
      </c>
      <c r="C98" s="1498"/>
      <c r="D98" s="1498"/>
      <c r="E98" s="794">
        <v>20.4</v>
      </c>
      <c r="F98" s="963"/>
      <c r="G98" s="1498"/>
      <c r="H98" s="1498"/>
      <c r="I98" s="1498"/>
      <c r="J98" s="1498"/>
      <c r="K98" s="1498"/>
      <c r="L98" s="1498"/>
      <c r="M98" s="1498"/>
      <c r="N98" s="1498"/>
      <c r="O98" s="1498"/>
      <c r="P98" s="1498"/>
      <c r="Q98" s="1498"/>
      <c r="R98" s="1498"/>
      <c r="S98" s="1257" t="s">
        <v>111</v>
      </c>
      <c r="T98" s="1258" t="s">
        <v>112</v>
      </c>
      <c r="U98" s="1498"/>
      <c r="V98" s="1498"/>
      <c r="W98" s="1498"/>
      <c r="X98" s="1498"/>
      <c r="Y98" s="1498"/>
      <c r="Z98" s="1498"/>
      <c r="AA98" s="817"/>
      <c r="AB98" s="1383"/>
      <c r="AC98" s="1384" t="s">
        <v>228</v>
      </c>
      <c r="AD98" s="1384"/>
      <c r="AE98" s="421" t="s">
        <v>248</v>
      </c>
      <c r="AF98" s="429"/>
      <c r="AG98" s="1512"/>
      <c r="AH98" s="1512"/>
      <c r="AI98" s="1512"/>
      <c r="AJ98" s="1512"/>
      <c r="AK98" s="1512"/>
      <c r="AL98" s="1512"/>
      <c r="AM98" s="1512"/>
      <c r="AN98" s="1512"/>
      <c r="AO98" s="1259"/>
      <c r="AP98" s="1259"/>
      <c r="AQ98" s="1259"/>
      <c r="AR98" s="1259"/>
      <c r="AS98" s="1259"/>
      <c r="AT98" s="1259"/>
      <c r="AU98" s="1259" t="s">
        <v>229</v>
      </c>
      <c r="AV98" s="1259"/>
      <c r="AW98" s="1259" t="s">
        <v>245</v>
      </c>
      <c r="AX98" s="1259" t="s">
        <v>246</v>
      </c>
      <c r="AY98" s="1259"/>
      <c r="AZ98" s="1259"/>
      <c r="BA98" s="1259"/>
      <c r="BB98" s="1259"/>
      <c r="BC98" s="1259"/>
      <c r="BD98" s="1259"/>
      <c r="BE98" s="1259"/>
    </row>
    <row customHeight="1" ht="19.89">
      <c r="A99" s="1498"/>
      <c r="B99" s="909">
        <f>HAS_DOC5="да"</f>
        <v>1</v>
      </c>
      <c r="C99" s="1498"/>
      <c r="D99" s="1498"/>
      <c r="E99" s="794">
        <v>20.4</v>
      </c>
      <c r="F99" s="963"/>
      <c r="G99" s="1498"/>
      <c r="H99" s="1498"/>
      <c r="I99" s="1498"/>
      <c r="J99" s="1498"/>
      <c r="K99" s="1498"/>
      <c r="L99" s="1498"/>
      <c r="M99" s="1498"/>
      <c r="N99" s="1498"/>
      <c r="O99" s="1498"/>
      <c r="P99" s="1498"/>
      <c r="Q99" s="1498"/>
      <c r="R99" s="1498"/>
      <c r="S99" s="1257" t="s">
        <v>111</v>
      </c>
      <c r="T99" s="1258" t="s">
        <v>112</v>
      </c>
      <c r="U99" s="1498"/>
      <c r="V99" s="1498"/>
      <c r="W99" s="1498"/>
      <c r="X99" s="1498"/>
      <c r="Y99" s="1498"/>
      <c r="Z99" s="1498"/>
      <c r="AA99" s="817"/>
      <c r="AB99" s="1383"/>
      <c r="AC99" s="1386" t="s">
        <v>230</v>
      </c>
      <c r="AD99" s="1384"/>
      <c r="AE99" s="420" t="s">
        <v>249</v>
      </c>
      <c r="AF99" s="429"/>
      <c r="AG99" s="1512"/>
      <c r="AH99" s="1512"/>
      <c r="AI99" s="1512"/>
      <c r="AJ99" s="1512"/>
      <c r="AK99" s="1512"/>
      <c r="AL99" s="1512"/>
      <c r="AM99" s="1512"/>
      <c r="AN99" s="1512"/>
      <c r="AO99" s="1259"/>
      <c r="AP99" s="1259"/>
      <c r="AQ99" s="1259"/>
      <c r="AR99" s="1259"/>
      <c r="AS99" s="1259"/>
      <c r="AT99" s="1259"/>
      <c r="AU99" s="1259" t="s">
        <v>231</v>
      </c>
      <c r="AV99" s="1259"/>
      <c r="AW99" s="1259" t="s">
        <v>245</v>
      </c>
      <c r="AX99" s="1259" t="s">
        <v>246</v>
      </c>
      <c r="AY99" s="1259"/>
      <c r="AZ99" s="1259"/>
      <c r="BA99" s="1259"/>
      <c r="BB99" s="1259"/>
      <c r="BC99" s="1259"/>
      <c r="BD99" s="1259"/>
      <c r="BE99" s="1259"/>
    </row>
    <row customHeight="1" ht="19.89">
      <c r="A100" s="1498"/>
      <c r="B100" s="909">
        <f>HAS_DOC5="да"</f>
        <v>1</v>
      </c>
      <c r="C100" s="1498"/>
      <c r="D100" s="1498"/>
      <c r="E100" s="794">
        <v>20.4</v>
      </c>
      <c r="F100" s="963"/>
      <c r="G100" s="1498"/>
      <c r="H100" s="1498"/>
      <c r="I100" s="1498"/>
      <c r="J100" s="1498"/>
      <c r="K100" s="1498"/>
      <c r="L100" s="1498"/>
      <c r="M100" s="1498"/>
      <c r="N100" s="1498"/>
      <c r="O100" s="1498"/>
      <c r="P100" s="1498"/>
      <c r="Q100" s="1498"/>
      <c r="R100" s="1498"/>
      <c r="S100" s="1257" t="s">
        <v>111</v>
      </c>
      <c r="T100" s="1258" t="s">
        <v>112</v>
      </c>
      <c r="U100" s="1498"/>
      <c r="V100" s="1498"/>
      <c r="W100" s="1498"/>
      <c r="X100" s="1498"/>
      <c r="Y100" s="1498"/>
      <c r="Z100" s="1498"/>
      <c r="AA100" s="817"/>
      <c r="AB100" s="1383"/>
      <c r="AC100" s="1384" t="s">
        <v>232</v>
      </c>
      <c r="AD100" s="1384"/>
      <c r="AE100" s="902">
        <v>44852</v>
      </c>
      <c r="AF100" s="429"/>
      <c r="AG100" s="1512"/>
      <c r="AH100" s="1512"/>
      <c r="AI100" s="1512"/>
      <c r="AJ100" s="1512"/>
      <c r="AK100" s="1512"/>
      <c r="AL100" s="1512"/>
      <c r="AM100" s="1512"/>
      <c r="AN100" s="1512"/>
      <c r="AO100" s="1259"/>
      <c r="AP100" s="1259"/>
      <c r="AQ100" s="1259"/>
      <c r="AR100" s="1259"/>
      <c r="AS100" s="1259"/>
      <c r="AT100" s="1259"/>
      <c r="AU100" s="1259" t="s">
        <v>233</v>
      </c>
      <c r="AV100" s="1259"/>
      <c r="AW100" s="1259" t="s">
        <v>245</v>
      </c>
      <c r="AX100" s="1259" t="s">
        <v>246</v>
      </c>
      <c r="AY100" s="1259"/>
      <c r="AZ100" s="1259"/>
      <c r="BA100" s="1259"/>
      <c r="BB100" s="1259"/>
      <c r="BC100" s="1259"/>
      <c r="BD100" s="1259"/>
      <c r="BE100" s="1259"/>
    </row>
    <row customHeight="1" ht="19.89">
      <c r="A101" s="1498"/>
      <c r="B101" s="909">
        <f>HAS_DOC5="да"</f>
        <v>1</v>
      </c>
      <c r="C101" s="1498"/>
      <c r="D101" s="1498"/>
      <c r="E101" s="794">
        <v>20.4</v>
      </c>
      <c r="F101" s="963"/>
      <c r="G101" s="1498"/>
      <c r="H101" s="1498"/>
      <c r="I101" s="1498"/>
      <c r="J101" s="1498"/>
      <c r="K101" s="1498"/>
      <c r="L101" s="1498"/>
      <c r="M101" s="1498"/>
      <c r="N101" s="1498"/>
      <c r="O101" s="1498"/>
      <c r="P101" s="1498"/>
      <c r="Q101" s="1498"/>
      <c r="R101" s="1498"/>
      <c r="S101" s="1257" t="s">
        <v>111</v>
      </c>
      <c r="T101" s="1258" t="s">
        <v>112</v>
      </c>
      <c r="U101" s="1498"/>
      <c r="V101" s="1498"/>
      <c r="W101" s="1498"/>
      <c r="X101" s="1498"/>
      <c r="Y101" s="1498"/>
      <c r="Z101" s="1498"/>
      <c r="AA101" s="817"/>
      <c r="AB101" s="1383"/>
      <c r="AC101" s="1384" t="s">
        <v>250</v>
      </c>
      <c r="AD101" s="1384"/>
      <c r="AE101" s="902">
        <v>44927</v>
      </c>
      <c r="AF101" s="429"/>
      <c r="AG101" s="1512"/>
      <c r="AH101" s="1512"/>
      <c r="AI101" s="1512"/>
      <c r="AJ101" s="1512"/>
      <c r="AK101" s="1512"/>
      <c r="AL101" s="1512"/>
      <c r="AM101" s="1512"/>
      <c r="AN101" s="1512"/>
      <c r="AO101" s="1259"/>
      <c r="AP101" s="1259"/>
      <c r="AQ101" s="1259"/>
      <c r="AR101" s="1259"/>
      <c r="AS101" s="1259"/>
      <c r="AT101" s="1259"/>
      <c r="AU101" s="1259" t="s">
        <v>251</v>
      </c>
      <c r="AV101" s="1259"/>
      <c r="AW101" s="1259" t="s">
        <v>245</v>
      </c>
      <c r="AX101" s="1259" t="s">
        <v>246</v>
      </c>
      <c r="AY101" s="1259"/>
      <c r="AZ101" s="1259"/>
      <c r="BA101" s="1259"/>
      <c r="BB101" s="1259"/>
      <c r="BC101" s="1259"/>
      <c r="BD101" s="1259"/>
      <c r="BE101" s="1259"/>
    </row>
    <row customHeight="1" ht="19.89">
      <c r="A102" s="1498"/>
      <c r="B102" s="909">
        <f>HAS_DOC5="да"</f>
        <v>1</v>
      </c>
      <c r="C102" s="1498"/>
      <c r="D102" s="1498"/>
      <c r="E102" s="794">
        <v>20.4</v>
      </c>
      <c r="F102" s="963"/>
      <c r="G102" s="1498"/>
      <c r="H102" s="1498"/>
      <c r="I102" s="1498"/>
      <c r="J102" s="1498"/>
      <c r="K102" s="1498"/>
      <c r="L102" s="1498"/>
      <c r="M102" s="1498"/>
      <c r="N102" s="1498"/>
      <c r="O102" s="1498"/>
      <c r="P102" s="1498"/>
      <c r="Q102" s="1498"/>
      <c r="R102" s="1498"/>
      <c r="S102" s="1257" t="s">
        <v>111</v>
      </c>
      <c r="T102" s="1258" t="s">
        <v>112</v>
      </c>
      <c r="U102" s="1498"/>
      <c r="V102" s="1498"/>
      <c r="W102" s="1498"/>
      <c r="X102" s="1498"/>
      <c r="Y102" s="1498"/>
      <c r="Z102" s="1498"/>
      <c r="AA102" s="817"/>
      <c r="AB102" s="1383"/>
      <c r="AC102" s="1384" t="s">
        <v>252</v>
      </c>
      <c r="AD102" s="1384"/>
      <c r="AE102" s="902">
        <v>46752</v>
      </c>
      <c r="AF102" s="429"/>
      <c r="AG102" s="1512"/>
      <c r="AH102" s="1512"/>
      <c r="AI102" s="1512"/>
      <c r="AJ102" s="1512"/>
      <c r="AK102" s="1512"/>
      <c r="AL102" s="1512"/>
      <c r="AM102" s="1512"/>
      <c r="AN102" s="1512"/>
      <c r="AO102" s="1259"/>
      <c r="AP102" s="1259"/>
      <c r="AQ102" s="1259"/>
      <c r="AR102" s="1259"/>
      <c r="AS102" s="1259"/>
      <c r="AT102" s="1259"/>
      <c r="AU102" s="1259" t="s">
        <v>253</v>
      </c>
      <c r="AV102" s="1259"/>
      <c r="AW102" s="1259" t="s">
        <v>245</v>
      </c>
      <c r="AX102" s="1259" t="s">
        <v>246</v>
      </c>
      <c r="AY102" s="1259"/>
      <c r="AZ102" s="1259"/>
      <c r="BA102" s="1259"/>
      <c r="BB102" s="1259"/>
      <c r="BC102" s="1259"/>
      <c r="BD102" s="1259"/>
      <c r="BE102" s="1259"/>
    </row>
    <row customHeight="1" ht="19.89" hidden="1">
      <c r="A103" s="1498"/>
      <c r="B103" s="909">
        <f>HAS_DOC5="да"</f>
        <v>1</v>
      </c>
      <c r="C103" s="1498"/>
      <c r="D103" s="1498"/>
      <c r="E103" s="794">
        <v>20.4</v>
      </c>
      <c r="F103" s="963"/>
      <c r="G103" s="1498"/>
      <c r="H103" s="1498"/>
      <c r="I103" s="1498"/>
      <c r="J103" s="1498"/>
      <c r="K103" s="1498"/>
      <c r="L103" s="1498"/>
      <c r="M103" s="1498"/>
      <c r="N103" s="1498"/>
      <c r="O103" s="1498"/>
      <c r="P103" s="1498"/>
      <c r="Q103" s="1498"/>
      <c r="R103" s="1498"/>
      <c r="S103" s="1257" t="s">
        <v>111</v>
      </c>
      <c r="T103" s="1258" t="s">
        <v>112</v>
      </c>
      <c r="U103" s="1498"/>
      <c r="V103" s="1498"/>
      <c r="W103" s="816">
        <f>ROW(Y103)&gt;ROW(Y$103)</f>
        <v>0</v>
      </c>
      <c r="X103" s="1498"/>
      <c r="Y103" s="176" t="s">
        <v>235</v>
      </c>
      <c r="Z103" s="1498"/>
      <c r="AA103" s="1385" t="s">
        <v>219</v>
      </c>
      <c r="AB103" s="1383" t="s">
        <v>225</v>
      </c>
      <c r="AC103" s="1384" t="s">
        <v>226</v>
      </c>
      <c r="AD103" s="1384"/>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227</v>
      </c>
      <c r="AV103" s="1259"/>
      <c r="AW103" s="1259" t="s">
        <v>245</v>
      </c>
      <c r="AX103" s="1259" t="s">
        <v>246</v>
      </c>
      <c r="AY103" s="1259"/>
      <c r="AZ103" s="1259"/>
      <c r="BA103" s="1259"/>
      <c r="BB103" s="1259"/>
      <c r="BC103" s="1259"/>
      <c r="BD103" s="1259"/>
      <c r="BE103" s="1259"/>
    </row>
    <row customHeight="1" ht="19.89" hidden="1">
      <c r="A104" s="1498"/>
      <c r="B104" s="909">
        <f>HAS_DOC5="да"</f>
        <v>1</v>
      </c>
      <c r="C104" s="1498"/>
      <c r="D104" s="1498"/>
      <c r="E104" s="794">
        <v>20.4</v>
      </c>
      <c r="F104" s="963"/>
      <c r="G104" s="1498"/>
      <c r="H104" s="1498"/>
      <c r="I104" s="1498"/>
      <c r="J104" s="1498"/>
      <c r="K104" s="1498"/>
      <c r="L104" s="1498"/>
      <c r="M104" s="1498"/>
      <c r="N104" s="1498"/>
      <c r="O104" s="1498"/>
      <c r="P104" s="1498"/>
      <c r="Q104" s="1498"/>
      <c r="R104" s="1498"/>
      <c r="S104" s="1257" t="s">
        <v>111</v>
      </c>
      <c r="T104" s="1258" t="s">
        <v>112</v>
      </c>
      <c r="U104" s="1498"/>
      <c r="V104" s="1498"/>
      <c r="W104" s="816" cm="1" t="str">
        <f t="array" ref="W104:W104">W103</f>
        <v>false</v>
      </c>
      <c r="X104" s="1498"/>
      <c r="Y104" s="1498"/>
      <c r="Z104" s="1498"/>
      <c r="AA104" s="1385"/>
      <c r="AB104" s="1383"/>
      <c r="AC104" s="1384" t="s">
        <v>228</v>
      </c>
      <c r="AD104" s="1384"/>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229</v>
      </c>
      <c r="AV104" s="1259"/>
      <c r="AW104" s="1259" t="s">
        <v>245</v>
      </c>
      <c r="AX104" s="1259" t="s">
        <v>246</v>
      </c>
      <c r="AY104" s="1259"/>
      <c r="AZ104" s="1259"/>
      <c r="BA104" s="1259"/>
      <c r="BB104" s="1259"/>
      <c r="BC104" s="1259"/>
      <c r="BD104" s="1259"/>
      <c r="BE104" s="1259"/>
    </row>
    <row customHeight="1" ht="19.89" hidden="1">
      <c r="A105" s="1498"/>
      <c r="B105" s="909">
        <f>HAS_DOC5="да"</f>
        <v>1</v>
      </c>
      <c r="C105" s="1498"/>
      <c r="D105" s="1498"/>
      <c r="E105" s="794">
        <v>20.4</v>
      </c>
      <c r="F105" s="963"/>
      <c r="G105" s="1498"/>
      <c r="H105" s="1498"/>
      <c r="I105" s="1498"/>
      <c r="J105" s="1498"/>
      <c r="K105" s="1498"/>
      <c r="L105" s="1498"/>
      <c r="M105" s="1498"/>
      <c r="N105" s="1498"/>
      <c r="O105" s="1498"/>
      <c r="P105" s="1498"/>
      <c r="Q105" s="1498"/>
      <c r="R105" s="1498"/>
      <c r="S105" s="1257" t="s">
        <v>111</v>
      </c>
      <c r="T105" s="1258" t="s">
        <v>112</v>
      </c>
      <c r="U105" s="1498"/>
      <c r="V105" s="1498"/>
      <c r="W105" s="816" cm="1" t="str">
        <f t="array" ref="W105:W105">W104</f>
        <v>false</v>
      </c>
      <c r="X105" s="1498"/>
      <c r="Y105" s="1498"/>
      <c r="Z105" s="1498"/>
      <c r="AA105" s="1385"/>
      <c r="AB105" s="1383"/>
      <c r="AC105" s="1386" t="s">
        <v>230</v>
      </c>
      <c r="AD105" s="1384"/>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231</v>
      </c>
      <c r="AV105" s="1259"/>
      <c r="AW105" s="1259" t="s">
        <v>245</v>
      </c>
      <c r="AX105" s="1259" t="s">
        <v>246</v>
      </c>
      <c r="AY105" s="1259"/>
      <c r="AZ105" s="1259"/>
      <c r="BA105" s="1259"/>
      <c r="BB105" s="1259"/>
      <c r="BC105" s="1259"/>
      <c r="BD105" s="1259"/>
      <c r="BE105" s="1259"/>
    </row>
    <row customHeight="1" ht="19.89" hidden="1">
      <c r="A106" s="1498"/>
      <c r="B106" s="909">
        <f>HAS_DOC5="да"</f>
        <v>1</v>
      </c>
      <c r="C106" s="1498"/>
      <c r="D106" s="1498"/>
      <c r="E106" s="794">
        <v>20.4</v>
      </c>
      <c r="F106" s="963"/>
      <c r="G106" s="1498"/>
      <c r="H106" s="1498"/>
      <c r="I106" s="1498"/>
      <c r="J106" s="1498"/>
      <c r="K106" s="1498"/>
      <c r="L106" s="1498"/>
      <c r="M106" s="1498"/>
      <c r="N106" s="1498"/>
      <c r="O106" s="1498"/>
      <c r="P106" s="1498"/>
      <c r="Q106" s="1498"/>
      <c r="R106" s="1498"/>
      <c r="S106" s="1257" t="s">
        <v>111</v>
      </c>
      <c r="T106" s="1258" t="s">
        <v>112</v>
      </c>
      <c r="U106" s="1498"/>
      <c r="V106" s="1498"/>
      <c r="W106" s="816" cm="1" t="str">
        <f t="array" ref="W106:W106">W105</f>
        <v>false</v>
      </c>
      <c r="X106" s="1498"/>
      <c r="Y106" s="1498"/>
      <c r="Z106" s="1498"/>
      <c r="AA106" s="1385"/>
      <c r="AB106" s="1383"/>
      <c r="AC106" s="1384" t="s">
        <v>232</v>
      </c>
      <c r="AD106" s="1384"/>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233</v>
      </c>
      <c r="AV106" s="1259"/>
      <c r="AW106" s="1259" t="s">
        <v>245</v>
      </c>
      <c r="AX106" s="1259" t="s">
        <v>246</v>
      </c>
      <c r="AY106" s="1259"/>
      <c r="AZ106" s="1259"/>
      <c r="BA106" s="1259"/>
      <c r="BB106" s="1259"/>
      <c r="BC106" s="1259"/>
      <c r="BD106" s="1259"/>
      <c r="BE106" s="1259"/>
    </row>
    <row customHeight="1" ht="19.89" hidden="1">
      <c r="A107" s="1498"/>
      <c r="B107" s="909">
        <f>HAS_DOC5="да"</f>
        <v>1</v>
      </c>
      <c r="C107" s="1498"/>
      <c r="D107" s="1498"/>
      <c r="E107" s="794">
        <v>20.4</v>
      </c>
      <c r="F107" s="963"/>
      <c r="G107" s="1498"/>
      <c r="H107" s="1498"/>
      <c r="I107" s="1498"/>
      <c r="J107" s="1498"/>
      <c r="K107" s="1498"/>
      <c r="L107" s="1498"/>
      <c r="M107" s="1498"/>
      <c r="N107" s="1498"/>
      <c r="O107" s="1498"/>
      <c r="P107" s="1498"/>
      <c r="Q107" s="1498"/>
      <c r="R107" s="1498"/>
      <c r="S107" s="1257" t="s">
        <v>111</v>
      </c>
      <c r="T107" s="1258" t="s">
        <v>112</v>
      </c>
      <c r="U107" s="1498"/>
      <c r="V107" s="1498"/>
      <c r="W107" s="816" cm="1" t="str">
        <f t="array" ref="W107:W107">W106</f>
        <v>false</v>
      </c>
      <c r="X107" s="1498"/>
      <c r="Y107" s="1498"/>
      <c r="Z107" s="1498"/>
      <c r="AA107" s="1385"/>
      <c r="AB107" s="1383"/>
      <c r="AC107" s="1384" t="s">
        <v>250</v>
      </c>
      <c r="AD107" s="1384"/>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251</v>
      </c>
      <c r="AV107" s="1259"/>
      <c r="AW107" s="1259" t="s">
        <v>245</v>
      </c>
      <c r="AX107" s="1259" t="s">
        <v>246</v>
      </c>
      <c r="AY107" s="1259"/>
      <c r="AZ107" s="1259"/>
      <c r="BA107" s="1259"/>
      <c r="BB107" s="1259"/>
      <c r="BC107" s="1259"/>
      <c r="BD107" s="1259"/>
      <c r="BE107" s="1259"/>
    </row>
    <row customHeight="1" ht="19.89" hidden="1">
      <c r="A108" s="1498"/>
      <c r="B108" s="909">
        <f>HAS_DOC5="да"</f>
        <v>1</v>
      </c>
      <c r="C108" s="1498"/>
      <c r="D108" s="1498"/>
      <c r="E108" s="794">
        <v>20.4</v>
      </c>
      <c r="F108" s="963"/>
      <c r="G108" s="1498"/>
      <c r="H108" s="1498"/>
      <c r="I108" s="1498"/>
      <c r="J108" s="1498"/>
      <c r="K108" s="1498"/>
      <c r="L108" s="1498"/>
      <c r="M108" s="1498"/>
      <c r="N108" s="1498"/>
      <c r="O108" s="1498"/>
      <c r="P108" s="1498"/>
      <c r="Q108" s="1498"/>
      <c r="R108" s="1498"/>
      <c r="S108" s="1257" t="s">
        <v>111</v>
      </c>
      <c r="T108" s="1258" t="s">
        <v>112</v>
      </c>
      <c r="U108" s="1498"/>
      <c r="V108" s="1498"/>
      <c r="W108" s="816" cm="1" t="str">
        <f t="array" ref="W108:W108">W107</f>
        <v>false</v>
      </c>
      <c r="X108" s="1498"/>
      <c r="Y108" s="1498"/>
      <c r="Z108" s="1498"/>
      <c r="AA108" s="1385"/>
      <c r="AB108" s="1383"/>
      <c r="AC108" s="1384" t="s">
        <v>252</v>
      </c>
      <c r="AD108" s="1384"/>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253</v>
      </c>
      <c r="AV108" s="1259"/>
      <c r="AW108" s="1259" t="s">
        <v>245</v>
      </c>
      <c r="AX108" s="1259" t="s">
        <v>246</v>
      </c>
      <c r="AY108" s="1259"/>
      <c r="AZ108" s="1259"/>
      <c r="BA108" s="1259"/>
      <c r="BB108" s="1259"/>
      <c r="BC108" s="1259"/>
      <c r="BD108" s="1259"/>
      <c r="BE108" s="1259"/>
    </row>
    <row customHeight="1" ht="14.625">
      <c r="A109" s="1498"/>
      <c r="B109" s="909">
        <f>HAS_DOC5="да"</f>
        <v>1</v>
      </c>
      <c r="C109" s="1498"/>
      <c r="D109" s="1498"/>
      <c r="E109" s="794">
        <v>15</v>
      </c>
      <c r="F109" s="211" t="s">
        <v>243</v>
      </c>
      <c r="G109" s="1498"/>
      <c r="H109" s="1498"/>
      <c r="I109" s="1498"/>
      <c r="J109" s="1498"/>
      <c r="K109" s="1498"/>
      <c r="L109" s="1498"/>
      <c r="M109" s="1498"/>
      <c r="N109" s="1498"/>
      <c r="O109" s="1498"/>
      <c r="P109" s="1498"/>
      <c r="Q109" s="1498"/>
      <c r="R109" s="1498"/>
      <c r="S109" s="1263"/>
      <c r="T109" s="1264"/>
      <c r="U109" s="1498"/>
      <c r="V109" s="1498"/>
      <c r="W109" s="1498"/>
      <c r="X109" s="1498"/>
      <c r="Y109" s="371" t="s">
        <v>236</v>
      </c>
      <c r="Z109" s="1498"/>
      <c r="AA109" s="817"/>
      <c r="AB109" s="339"/>
      <c r="AC109" s="338"/>
      <c r="AD109" s="338"/>
      <c r="AE109" s="337" t="s">
        <v>237</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254</v>
      </c>
      <c r="S110" s="1257" t="s">
        <v>186</v>
      </c>
      <c r="T110" s="1258" t="s">
        <v>187</v>
      </c>
      <c r="AB110" s="138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4"/>
      <c r="AD110" s="1384"/>
      <c r="AE110" s="439" t="s">
        <v>200</v>
      </c>
      <c r="AF110" s="434"/>
      <c r="AG110" s="152" t="s">
        <v>255</v>
      </c>
      <c r="AO110" s="1259"/>
      <c r="AP110" s="1259"/>
      <c r="AQ110" s="1259"/>
      <c r="AR110" s="1259"/>
      <c r="AS110" s="1259"/>
      <c r="AT110" s="1259"/>
      <c r="AU110" s="1259"/>
      <c r="AV110" s="1259"/>
      <c r="AW110" s="1259" t="s">
        <v>245</v>
      </c>
      <c r="AX110" s="1259" t="s">
        <v>256</v>
      </c>
      <c r="AY110" s="1259"/>
      <c r="AZ110" s="1259"/>
      <c r="BA110" s="1259"/>
      <c r="BB110" s="1259"/>
      <c r="BC110" s="1259"/>
      <c r="BD110" s="1259"/>
      <c r="BE110" s="1259"/>
    </row>
    <row customHeight="1" ht="19.89">
      <c r="A111" s="1498"/>
      <c r="B111" s="909">
        <f>HAS_DOC6="да"</f>
        <v>1</v>
      </c>
      <c r="C111" s="1498"/>
      <c r="D111" s="1498"/>
      <c r="E111" s="794">
        <v>20.4</v>
      </c>
      <c r="F111" s="963"/>
      <c r="G111" s="1498"/>
      <c r="H111" s="1498"/>
      <c r="I111" s="1498"/>
      <c r="J111" s="1498"/>
      <c r="K111" s="1498"/>
      <c r="L111" s="1498"/>
      <c r="M111" s="1498"/>
      <c r="N111" s="1498"/>
      <c r="O111" s="1498"/>
      <c r="P111" s="1498"/>
      <c r="Q111" s="1498"/>
      <c r="R111" s="1498"/>
      <c r="S111" s="1257" t="s">
        <v>111</v>
      </c>
      <c r="T111" s="1258" t="s">
        <v>112</v>
      </c>
      <c r="U111" s="1498"/>
      <c r="V111" s="1498"/>
      <c r="W111" s="1498"/>
      <c r="X111" s="1498"/>
      <c r="Y111" s="1498"/>
      <c r="Z111" s="1498"/>
      <c r="AA111" s="817"/>
      <c r="AB111" s="1383" t="s">
        <v>225</v>
      </c>
      <c r="AC111" s="1384" t="s">
        <v>226</v>
      </c>
      <c r="AD111" s="1384"/>
      <c r="AE111" s="1604" t="s">
        <v>247</v>
      </c>
      <c r="AF111" s="429"/>
      <c r="AG111" s="1512"/>
      <c r="AH111" s="1512"/>
      <c r="AI111" s="1512"/>
      <c r="AJ111" s="1512"/>
      <c r="AK111" s="1512"/>
      <c r="AL111" s="1512"/>
      <c r="AM111" s="1512"/>
      <c r="AN111" s="1512"/>
      <c r="AO111" s="1259"/>
      <c r="AP111" s="1259"/>
      <c r="AQ111" s="1259"/>
      <c r="AR111" s="1259"/>
      <c r="AS111" s="1259"/>
      <c r="AT111" s="1259"/>
      <c r="AU111" s="1259" t="s">
        <v>227</v>
      </c>
      <c r="AV111" s="1259"/>
      <c r="AW111" s="1259" t="s">
        <v>245</v>
      </c>
      <c r="AX111" s="1259" t="s">
        <v>256</v>
      </c>
      <c r="AY111" s="1259"/>
      <c r="AZ111" s="1259"/>
      <c r="BA111" s="1259"/>
      <c r="BB111" s="1259"/>
      <c r="BC111" s="1259"/>
      <c r="BD111" s="1259"/>
      <c r="BE111" s="1259"/>
    </row>
    <row customHeight="1" ht="19.89">
      <c r="A112" s="1498"/>
      <c r="B112" s="909">
        <f>HAS_DOC6="да"</f>
        <v>1</v>
      </c>
      <c r="C112" s="1498"/>
      <c r="D112" s="1498"/>
      <c r="E112" s="794">
        <v>20.4</v>
      </c>
      <c r="F112" s="963"/>
      <c r="G112" s="1498"/>
      <c r="H112" s="1498"/>
      <c r="I112" s="1498"/>
      <c r="J112" s="1498"/>
      <c r="K112" s="1498"/>
      <c r="L112" s="1498"/>
      <c r="M112" s="1498"/>
      <c r="N112" s="1498"/>
      <c r="O112" s="1498"/>
      <c r="P112" s="1498"/>
      <c r="Q112" s="1498"/>
      <c r="R112" s="1498"/>
      <c r="S112" s="1257" t="s">
        <v>111</v>
      </c>
      <c r="T112" s="1258" t="s">
        <v>112</v>
      </c>
      <c r="U112" s="1498"/>
      <c r="V112" s="1498"/>
      <c r="W112" s="1498"/>
      <c r="X112" s="1498"/>
      <c r="Y112" s="1498"/>
      <c r="Z112" s="1498"/>
      <c r="AA112" s="817"/>
      <c r="AB112" s="1383"/>
      <c r="AC112" s="1384" t="s">
        <v>228</v>
      </c>
      <c r="AD112" s="1384"/>
      <c r="AE112" s="1605" t="s">
        <v>248</v>
      </c>
      <c r="AF112" s="429"/>
      <c r="AG112" s="1512"/>
      <c r="AH112" s="1512"/>
      <c r="AI112" s="1512"/>
      <c r="AJ112" s="1512"/>
      <c r="AK112" s="1512"/>
      <c r="AL112" s="1512"/>
      <c r="AM112" s="1512"/>
      <c r="AN112" s="1512"/>
      <c r="AO112" s="1259"/>
      <c r="AP112" s="1259"/>
      <c r="AQ112" s="1259"/>
      <c r="AR112" s="1259"/>
      <c r="AS112" s="1259"/>
      <c r="AT112" s="1259"/>
      <c r="AU112" s="1259" t="s">
        <v>229</v>
      </c>
      <c r="AV112" s="1259"/>
      <c r="AW112" s="1259" t="s">
        <v>245</v>
      </c>
      <c r="AX112" s="1259" t="s">
        <v>256</v>
      </c>
      <c r="AY112" s="1259"/>
      <c r="AZ112" s="1259"/>
      <c r="BA112" s="1259"/>
      <c r="BB112" s="1259"/>
      <c r="BC112" s="1259"/>
      <c r="BD112" s="1259"/>
      <c r="BE112" s="1259"/>
    </row>
    <row customHeight="1" ht="19.89">
      <c r="A113" s="1498"/>
      <c r="B113" s="909">
        <f>HAS_DOC6="да"</f>
        <v>1</v>
      </c>
      <c r="C113" s="1498"/>
      <c r="D113" s="1498"/>
      <c r="E113" s="794">
        <v>20.4</v>
      </c>
      <c r="F113" s="963"/>
      <c r="G113" s="1498"/>
      <c r="H113" s="1498"/>
      <c r="I113" s="1498"/>
      <c r="J113" s="1498"/>
      <c r="K113" s="1498"/>
      <c r="L113" s="1498"/>
      <c r="M113" s="1498"/>
      <c r="N113" s="1498"/>
      <c r="O113" s="1498"/>
      <c r="P113" s="1498"/>
      <c r="Q113" s="1498"/>
      <c r="R113" s="1498"/>
      <c r="S113" s="1257" t="s">
        <v>111</v>
      </c>
      <c r="T113" s="1258" t="s">
        <v>112</v>
      </c>
      <c r="U113" s="1498"/>
      <c r="V113" s="1498"/>
      <c r="W113" s="1498"/>
      <c r="X113" s="1498"/>
      <c r="Y113" s="1498"/>
      <c r="Z113" s="1498"/>
      <c r="AA113" s="817"/>
      <c r="AB113" s="1383"/>
      <c r="AC113" s="1386" t="s">
        <v>230</v>
      </c>
      <c r="AD113" s="1384"/>
      <c r="AE113" s="1604" t="s">
        <v>249</v>
      </c>
      <c r="AF113" s="429"/>
      <c r="AG113" s="1512"/>
      <c r="AH113" s="1512"/>
      <c r="AI113" s="1512"/>
      <c r="AJ113" s="1512"/>
      <c r="AK113" s="1512"/>
      <c r="AL113" s="1512"/>
      <c r="AM113" s="1512"/>
      <c r="AN113" s="1512"/>
      <c r="AO113" s="1259"/>
      <c r="AP113" s="1259"/>
      <c r="AQ113" s="1259"/>
      <c r="AR113" s="1259"/>
      <c r="AS113" s="1259"/>
      <c r="AT113" s="1259"/>
      <c r="AU113" s="1259" t="s">
        <v>231</v>
      </c>
      <c r="AV113" s="1259"/>
      <c r="AW113" s="1259" t="s">
        <v>245</v>
      </c>
      <c r="AX113" s="1259" t="s">
        <v>256</v>
      </c>
      <c r="AY113" s="1259"/>
      <c r="AZ113" s="1259"/>
      <c r="BA113" s="1259"/>
      <c r="BB113" s="1259"/>
      <c r="BC113" s="1259"/>
      <c r="BD113" s="1259"/>
      <c r="BE113" s="1259"/>
    </row>
    <row customHeight="1" ht="19.89">
      <c r="A114" s="1498"/>
      <c r="B114" s="909">
        <f>HAS_DOC6="да"</f>
        <v>1</v>
      </c>
      <c r="C114" s="1498"/>
      <c r="D114" s="1498"/>
      <c r="E114" s="794">
        <v>20.4</v>
      </c>
      <c r="F114" s="963"/>
      <c r="G114" s="1498"/>
      <c r="H114" s="1498"/>
      <c r="I114" s="1498"/>
      <c r="J114" s="1498"/>
      <c r="K114" s="1498"/>
      <c r="L114" s="1498"/>
      <c r="M114" s="1498"/>
      <c r="N114" s="1498"/>
      <c r="O114" s="1498"/>
      <c r="P114" s="1498"/>
      <c r="Q114" s="1498"/>
      <c r="R114" s="1498"/>
      <c r="S114" s="1257" t="s">
        <v>111</v>
      </c>
      <c r="T114" s="1258" t="s">
        <v>112</v>
      </c>
      <c r="U114" s="1498"/>
      <c r="V114" s="1498"/>
      <c r="W114" s="1498"/>
      <c r="X114" s="1498"/>
      <c r="Y114" s="1498"/>
      <c r="Z114" s="1498"/>
      <c r="AA114" s="817"/>
      <c r="AB114" s="1383"/>
      <c r="AC114" s="1384" t="s">
        <v>232</v>
      </c>
      <c r="AD114" s="1384"/>
      <c r="AE114" s="1606">
        <v>44852</v>
      </c>
      <c r="AF114" s="429"/>
      <c r="AG114" s="1512"/>
      <c r="AH114" s="1512"/>
      <c r="AI114" s="1512"/>
      <c r="AJ114" s="1512"/>
      <c r="AK114" s="1512"/>
      <c r="AL114" s="1512"/>
      <c r="AM114" s="1512"/>
      <c r="AN114" s="1512"/>
      <c r="AO114" s="1259"/>
      <c r="AP114" s="1259"/>
      <c r="AQ114" s="1259"/>
      <c r="AR114" s="1259"/>
      <c r="AS114" s="1259"/>
      <c r="AT114" s="1259"/>
      <c r="AU114" s="1259" t="s">
        <v>233</v>
      </c>
      <c r="AV114" s="1259"/>
      <c r="AW114" s="1259" t="s">
        <v>245</v>
      </c>
      <c r="AX114" s="1259" t="s">
        <v>256</v>
      </c>
      <c r="AY114" s="1259"/>
      <c r="AZ114" s="1259"/>
      <c r="BA114" s="1259"/>
      <c r="BB114" s="1259"/>
      <c r="BC114" s="1259"/>
      <c r="BD114" s="1259"/>
      <c r="BE114" s="1259"/>
    </row>
    <row customHeight="1" ht="19.89">
      <c r="A115" s="1498"/>
      <c r="B115" s="909">
        <f>HAS_DOC6="да"</f>
        <v>1</v>
      </c>
      <c r="C115" s="1498"/>
      <c r="D115" s="1498"/>
      <c r="E115" s="794">
        <v>20.4</v>
      </c>
      <c r="F115" s="963"/>
      <c r="G115" s="1498"/>
      <c r="H115" s="1498"/>
      <c r="I115" s="1498"/>
      <c r="J115" s="1498"/>
      <c r="K115" s="1498"/>
      <c r="L115" s="1498"/>
      <c r="M115" s="1498"/>
      <c r="N115" s="1498"/>
      <c r="O115" s="1498"/>
      <c r="P115" s="1498"/>
      <c r="Q115" s="1498"/>
      <c r="R115" s="1498"/>
      <c r="S115" s="1257" t="s">
        <v>111</v>
      </c>
      <c r="T115" s="1258" t="s">
        <v>112</v>
      </c>
      <c r="U115" s="1498"/>
      <c r="V115" s="1498"/>
      <c r="W115" s="1498"/>
      <c r="X115" s="1498"/>
      <c r="Y115" s="1498"/>
      <c r="Z115" s="1498"/>
      <c r="AA115" s="817"/>
      <c r="AB115" s="1383"/>
      <c r="AC115" s="1384" t="s">
        <v>250</v>
      </c>
      <c r="AD115" s="1384"/>
      <c r="AE115" s="1606">
        <v>44927</v>
      </c>
      <c r="AF115" s="429"/>
      <c r="AG115" s="1512"/>
      <c r="AH115" s="1512"/>
      <c r="AI115" s="1512"/>
      <c r="AJ115" s="1512"/>
      <c r="AK115" s="1512"/>
      <c r="AL115" s="1512"/>
      <c r="AM115" s="1512"/>
      <c r="AN115" s="1512"/>
      <c r="AO115" s="1259"/>
      <c r="AP115" s="1259"/>
      <c r="AQ115" s="1259"/>
      <c r="AR115" s="1259"/>
      <c r="AS115" s="1259"/>
      <c r="AT115" s="1259"/>
      <c r="AU115" s="1259" t="s">
        <v>251</v>
      </c>
      <c r="AV115" s="1259"/>
      <c r="AW115" s="1259" t="s">
        <v>245</v>
      </c>
      <c r="AX115" s="1259" t="s">
        <v>256</v>
      </c>
      <c r="AY115" s="1259"/>
      <c r="AZ115" s="1259"/>
      <c r="BA115" s="1259"/>
      <c r="BB115" s="1259"/>
      <c r="BC115" s="1259"/>
      <c r="BD115" s="1259"/>
      <c r="BE115" s="1259"/>
    </row>
    <row customHeight="1" ht="19.89">
      <c r="A116" s="1498"/>
      <c r="B116" s="909">
        <f>HAS_DOC6="да"</f>
        <v>1</v>
      </c>
      <c r="C116" s="1498"/>
      <c r="D116" s="1498"/>
      <c r="E116" s="794">
        <v>20.4</v>
      </c>
      <c r="F116" s="963"/>
      <c r="G116" s="1498"/>
      <c r="H116" s="1498"/>
      <c r="I116" s="1498"/>
      <c r="J116" s="1498"/>
      <c r="K116" s="1498"/>
      <c r="L116" s="1498"/>
      <c r="M116" s="1498"/>
      <c r="N116" s="1498"/>
      <c r="O116" s="1498"/>
      <c r="P116" s="1498"/>
      <c r="Q116" s="1498"/>
      <c r="R116" s="1498"/>
      <c r="S116" s="1257" t="s">
        <v>111</v>
      </c>
      <c r="T116" s="1258" t="s">
        <v>112</v>
      </c>
      <c r="U116" s="1498"/>
      <c r="V116" s="1498"/>
      <c r="W116" s="1498"/>
      <c r="X116" s="1498"/>
      <c r="Y116" s="1498"/>
      <c r="Z116" s="1498"/>
      <c r="AA116" s="817"/>
      <c r="AB116" s="1383"/>
      <c r="AC116" s="1384" t="s">
        <v>252</v>
      </c>
      <c r="AD116" s="1384"/>
      <c r="AE116" s="1606">
        <v>46752</v>
      </c>
      <c r="AF116" s="429"/>
      <c r="AG116" s="1512"/>
      <c r="AH116" s="1512"/>
      <c r="AI116" s="1512"/>
      <c r="AJ116" s="1512"/>
      <c r="AK116" s="1512"/>
      <c r="AL116" s="1512"/>
      <c r="AM116" s="1512"/>
      <c r="AN116" s="1512"/>
      <c r="AO116" s="1259"/>
      <c r="AP116" s="1259"/>
      <c r="AQ116" s="1259"/>
      <c r="AR116" s="1259"/>
      <c r="AS116" s="1259"/>
      <c r="AT116" s="1259"/>
      <c r="AU116" s="1259" t="s">
        <v>253</v>
      </c>
      <c r="AV116" s="1259"/>
      <c r="AW116" s="1259" t="s">
        <v>245</v>
      </c>
      <c r="AX116" s="1259" t="s">
        <v>256</v>
      </c>
      <c r="AY116" s="1259"/>
      <c r="AZ116" s="1259"/>
      <c r="BA116" s="1259"/>
      <c r="BB116" s="1259"/>
      <c r="BC116" s="1259"/>
      <c r="BD116" s="1259"/>
      <c r="BE116" s="1259"/>
    </row>
    <row customHeight="1" ht="19.89" hidden="1">
      <c r="A117" s="1498"/>
      <c r="B117" s="909">
        <f>HAS_DOC6="да"</f>
        <v>1</v>
      </c>
      <c r="C117" s="1498"/>
      <c r="D117" s="1498"/>
      <c r="E117" s="794">
        <v>20.4</v>
      </c>
      <c r="F117" s="963"/>
      <c r="G117" s="1498"/>
      <c r="H117" s="1498"/>
      <c r="I117" s="1498"/>
      <c r="J117" s="1498"/>
      <c r="K117" s="1498"/>
      <c r="L117" s="1498"/>
      <c r="M117" s="1498"/>
      <c r="N117" s="1498"/>
      <c r="O117" s="1498"/>
      <c r="P117" s="1498"/>
      <c r="Q117" s="1498"/>
      <c r="R117" s="1498"/>
      <c r="S117" s="1257" t="s">
        <v>111</v>
      </c>
      <c r="T117" s="1258" t="s">
        <v>112</v>
      </c>
      <c r="U117" s="1498"/>
      <c r="V117" s="1498"/>
      <c r="W117" s="816">
        <f>ROW(Y117)&gt;ROW(Y$117)</f>
        <v>0</v>
      </c>
      <c r="X117" s="1498"/>
      <c r="Y117" s="176" t="s">
        <v>235</v>
      </c>
      <c r="Z117" s="1498"/>
      <c r="AA117" s="1385" t="s">
        <v>219</v>
      </c>
      <c r="AB117" s="1383" t="s">
        <v>225</v>
      </c>
      <c r="AC117" s="1384" t="s">
        <v>226</v>
      </c>
      <c r="AD117" s="1384"/>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227</v>
      </c>
      <c r="AV117" s="1259"/>
      <c r="AW117" s="1259" t="s">
        <v>245</v>
      </c>
      <c r="AX117" s="1259" t="s">
        <v>256</v>
      </c>
      <c r="AY117" s="1259"/>
      <c r="AZ117" s="1259"/>
      <c r="BA117" s="1259"/>
      <c r="BB117" s="1259"/>
      <c r="BC117" s="1259"/>
      <c r="BD117" s="1259"/>
      <c r="BE117" s="1259"/>
    </row>
    <row customHeight="1" ht="19.89" hidden="1">
      <c r="A118" s="1498"/>
      <c r="B118" s="909">
        <f>HAS_DOC6="да"</f>
        <v>1</v>
      </c>
      <c r="C118" s="1498"/>
      <c r="D118" s="1498"/>
      <c r="E118" s="794">
        <v>20.4</v>
      </c>
      <c r="F118" s="963"/>
      <c r="G118" s="1498"/>
      <c r="H118" s="1498"/>
      <c r="I118" s="1498"/>
      <c r="J118" s="1498"/>
      <c r="K118" s="1498"/>
      <c r="L118" s="1498"/>
      <c r="M118" s="1498"/>
      <c r="N118" s="1498"/>
      <c r="O118" s="1498"/>
      <c r="P118" s="1498"/>
      <c r="Q118" s="1498"/>
      <c r="R118" s="1498"/>
      <c r="S118" s="1257" t="s">
        <v>111</v>
      </c>
      <c r="T118" s="1258" t="s">
        <v>112</v>
      </c>
      <c r="U118" s="1498"/>
      <c r="V118" s="1498"/>
      <c r="W118" s="816" cm="1" t="str">
        <f t="array" ref="W118:W118">W117</f>
        <v>false</v>
      </c>
      <c r="X118" s="1498"/>
      <c r="Y118" s="1498"/>
      <c r="Z118" s="1498"/>
      <c r="AA118" s="1385"/>
      <c r="AB118" s="1383"/>
      <c r="AC118" s="1384" t="s">
        <v>228</v>
      </c>
      <c r="AD118" s="1384"/>
      <c r="AE118" s="467" t="s">
        <v>242</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229</v>
      </c>
      <c r="AV118" s="1259"/>
      <c r="AW118" s="1259" t="s">
        <v>245</v>
      </c>
      <c r="AX118" s="1259" t="s">
        <v>256</v>
      </c>
      <c r="AY118" s="1259"/>
      <c r="AZ118" s="1259"/>
      <c r="BA118" s="1259"/>
      <c r="BB118" s="1259"/>
      <c r="BC118" s="1259"/>
      <c r="BD118" s="1259"/>
      <c r="BE118" s="1259"/>
    </row>
    <row customHeight="1" ht="19.89" hidden="1">
      <c r="A119" s="1498"/>
      <c r="B119" s="909">
        <f>HAS_DOC6="да"</f>
        <v>1</v>
      </c>
      <c r="C119" s="1498"/>
      <c r="D119" s="1498"/>
      <c r="E119" s="794">
        <v>20.4</v>
      </c>
      <c r="F119" s="963"/>
      <c r="G119" s="1498"/>
      <c r="H119" s="1498"/>
      <c r="I119" s="1498"/>
      <c r="J119" s="1498"/>
      <c r="K119" s="1498"/>
      <c r="L119" s="1498"/>
      <c r="M119" s="1498"/>
      <c r="N119" s="1498"/>
      <c r="O119" s="1498"/>
      <c r="P119" s="1498"/>
      <c r="Q119" s="1498"/>
      <c r="R119" s="1498"/>
      <c r="S119" s="1257" t="s">
        <v>111</v>
      </c>
      <c r="T119" s="1258" t="s">
        <v>112</v>
      </c>
      <c r="U119" s="1498"/>
      <c r="V119" s="1498"/>
      <c r="W119" s="816" cm="1" t="str">
        <f t="array" ref="W119:W119">W118</f>
        <v>false</v>
      </c>
      <c r="X119" s="1498"/>
      <c r="Y119" s="1498"/>
      <c r="Z119" s="1498"/>
      <c r="AA119" s="1385"/>
      <c r="AB119" s="1383"/>
      <c r="AC119" s="1386" t="s">
        <v>230</v>
      </c>
      <c r="AD119" s="1384"/>
      <c r="AE119" s="466" t="s">
        <v>242</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231</v>
      </c>
      <c r="AV119" s="1259"/>
      <c r="AW119" s="1259" t="s">
        <v>245</v>
      </c>
      <c r="AX119" s="1259" t="s">
        <v>256</v>
      </c>
      <c r="AY119" s="1259"/>
      <c r="AZ119" s="1259"/>
      <c r="BA119" s="1259"/>
      <c r="BB119" s="1259"/>
      <c r="BC119" s="1259"/>
      <c r="BD119" s="1259"/>
      <c r="BE119" s="1259"/>
    </row>
    <row customHeight="1" ht="19.89" hidden="1">
      <c r="A120" s="1498"/>
      <c r="B120" s="909">
        <f>HAS_DOC6="да"</f>
        <v>1</v>
      </c>
      <c r="C120" s="1498"/>
      <c r="D120" s="1498"/>
      <c r="E120" s="794">
        <v>20.4</v>
      </c>
      <c r="F120" s="963"/>
      <c r="G120" s="1498"/>
      <c r="H120" s="1498"/>
      <c r="I120" s="1498"/>
      <c r="J120" s="1498"/>
      <c r="K120" s="1498"/>
      <c r="L120" s="1498"/>
      <c r="M120" s="1498"/>
      <c r="N120" s="1498"/>
      <c r="O120" s="1498"/>
      <c r="P120" s="1498"/>
      <c r="Q120" s="1498"/>
      <c r="R120" s="1498"/>
      <c r="S120" s="1257" t="s">
        <v>111</v>
      </c>
      <c r="T120" s="1258" t="s">
        <v>112</v>
      </c>
      <c r="U120" s="1498"/>
      <c r="V120" s="1498"/>
      <c r="W120" s="816" cm="1" t="str">
        <f t="array" ref="W120:W120">W119</f>
        <v>false</v>
      </c>
      <c r="X120" s="1498"/>
      <c r="Y120" s="1498"/>
      <c r="Z120" s="1498"/>
      <c r="AA120" s="1385"/>
      <c r="AB120" s="1383"/>
      <c r="AC120" s="1384" t="s">
        <v>232</v>
      </c>
      <c r="AD120" s="1384"/>
      <c r="AE120" s="904" t="s">
        <v>242</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233</v>
      </c>
      <c r="AV120" s="1259"/>
      <c r="AW120" s="1259" t="s">
        <v>245</v>
      </c>
      <c r="AX120" s="1259" t="s">
        <v>256</v>
      </c>
      <c r="AY120" s="1259"/>
      <c r="AZ120" s="1259"/>
      <c r="BA120" s="1259"/>
      <c r="BB120" s="1259"/>
      <c r="BC120" s="1259"/>
      <c r="BD120" s="1259"/>
      <c r="BE120" s="1259"/>
    </row>
    <row customHeight="1" ht="19.89" hidden="1">
      <c r="A121" s="1498"/>
      <c r="B121" s="909">
        <f>HAS_DOC6="да"</f>
        <v>1</v>
      </c>
      <c r="C121" s="1498"/>
      <c r="D121" s="1498"/>
      <c r="E121" s="794">
        <v>20.4</v>
      </c>
      <c r="F121" s="963"/>
      <c r="G121" s="1498"/>
      <c r="H121" s="1498"/>
      <c r="I121" s="1498"/>
      <c r="J121" s="1498"/>
      <c r="K121" s="1498"/>
      <c r="L121" s="1498"/>
      <c r="M121" s="1498"/>
      <c r="N121" s="1498"/>
      <c r="O121" s="1498"/>
      <c r="P121" s="1498"/>
      <c r="Q121" s="1498"/>
      <c r="R121" s="1498"/>
      <c r="S121" s="1257" t="s">
        <v>111</v>
      </c>
      <c r="T121" s="1258" t="s">
        <v>112</v>
      </c>
      <c r="U121" s="1498"/>
      <c r="V121" s="1498"/>
      <c r="W121" s="816" cm="1" t="str">
        <f t="array" ref="W121:W121">W120</f>
        <v>false</v>
      </c>
      <c r="X121" s="1498"/>
      <c r="Y121" s="1498"/>
      <c r="Z121" s="1498"/>
      <c r="AA121" s="1385"/>
      <c r="AB121" s="1383"/>
      <c r="AC121" s="1384" t="s">
        <v>250</v>
      </c>
      <c r="AD121" s="1384"/>
      <c r="AE121" s="904" t="s">
        <v>242</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251</v>
      </c>
      <c r="AV121" s="1259"/>
      <c r="AW121" s="1259" t="s">
        <v>245</v>
      </c>
      <c r="AX121" s="1259" t="s">
        <v>256</v>
      </c>
      <c r="AY121" s="1259"/>
      <c r="AZ121" s="1259"/>
      <c r="BA121" s="1259"/>
      <c r="BB121" s="1259"/>
      <c r="BC121" s="1259"/>
      <c r="BD121" s="1259"/>
      <c r="BE121" s="1259"/>
    </row>
    <row customHeight="1" ht="19.89" hidden="1">
      <c r="A122" s="1498"/>
      <c r="B122" s="909">
        <f>HAS_DOC6="да"</f>
        <v>1</v>
      </c>
      <c r="C122" s="1498"/>
      <c r="D122" s="1498"/>
      <c r="E122" s="794">
        <v>20.4</v>
      </c>
      <c r="F122" s="963"/>
      <c r="G122" s="1498"/>
      <c r="H122" s="1498"/>
      <c r="I122" s="1498"/>
      <c r="J122" s="1498"/>
      <c r="K122" s="1498"/>
      <c r="L122" s="1498"/>
      <c r="M122" s="1498"/>
      <c r="N122" s="1498"/>
      <c r="O122" s="1498"/>
      <c r="P122" s="1498"/>
      <c r="Q122" s="1498"/>
      <c r="R122" s="1498"/>
      <c r="S122" s="1257" t="s">
        <v>111</v>
      </c>
      <c r="T122" s="1258" t="s">
        <v>112</v>
      </c>
      <c r="U122" s="1498"/>
      <c r="V122" s="1498"/>
      <c r="W122" s="816" cm="1" t="str">
        <f t="array" ref="W122:W122">W121</f>
        <v>false</v>
      </c>
      <c r="X122" s="1498"/>
      <c r="Y122" s="1498"/>
      <c r="Z122" s="1498"/>
      <c r="AA122" s="1385"/>
      <c r="AB122" s="1383"/>
      <c r="AC122" s="1384" t="s">
        <v>252</v>
      </c>
      <c r="AD122" s="1384"/>
      <c r="AE122" s="907" t="s">
        <v>242</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253</v>
      </c>
      <c r="AV122" s="1259"/>
      <c r="AW122" s="1259" t="s">
        <v>245</v>
      </c>
      <c r="AX122" s="1259" t="s">
        <v>256</v>
      </c>
      <c r="AY122" s="1259"/>
      <c r="AZ122" s="1259"/>
      <c r="BA122" s="1259"/>
      <c r="BB122" s="1259"/>
      <c r="BC122" s="1259"/>
      <c r="BD122" s="1259"/>
      <c r="BE122" s="1259"/>
    </row>
    <row customHeight="1" ht="14.625">
      <c r="A123" s="1498"/>
      <c r="B123" s="909">
        <f>HAS_DOC6="да"</f>
        <v>1</v>
      </c>
      <c r="C123" s="1498"/>
      <c r="D123" s="1498"/>
      <c r="E123" s="794">
        <v>15</v>
      </c>
      <c r="F123" s="211" t="s">
        <v>254</v>
      </c>
      <c r="G123" s="1498"/>
      <c r="H123" s="1498"/>
      <c r="I123" s="1498"/>
      <c r="J123" s="1498"/>
      <c r="K123" s="1498"/>
      <c r="L123" s="1498"/>
      <c r="M123" s="1498"/>
      <c r="N123" s="1498"/>
      <c r="O123" s="1498"/>
      <c r="P123" s="1498"/>
      <c r="Q123" s="1498"/>
      <c r="R123" s="1498"/>
      <c r="S123" s="1263"/>
      <c r="T123" s="1264"/>
      <c r="U123" s="1498"/>
      <c r="V123" s="1498"/>
      <c r="W123" s="1498"/>
      <c r="X123" s="1498"/>
      <c r="Y123" s="371" t="s">
        <v>236</v>
      </c>
      <c r="Z123" s="1498"/>
      <c r="AA123" s="817"/>
      <c r="AB123" s="339"/>
      <c r="AC123" s="338"/>
      <c r="AD123" s="338"/>
      <c r="AE123" s="337" t="s">
        <v>237</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257</v>
      </c>
      <c r="S124" s="1257" t="s">
        <v>186</v>
      </c>
      <c r="T124" s="1258" t="s">
        <v>187</v>
      </c>
      <c r="AB124" s="138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4"/>
      <c r="AD124" s="1384"/>
      <c r="AE124" s="439" t="s">
        <v>190</v>
      </c>
      <c r="AF124" s="434"/>
      <c r="AG124" s="152"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98"/>
      <c r="B125" s="909">
        <f>HAS_DOC7="да"</f>
        <v>0</v>
      </c>
      <c r="C125" s="1498"/>
      <c r="D125" s="1498"/>
      <c r="E125" s="794">
        <v>20.4</v>
      </c>
      <c r="F125" s="963"/>
      <c r="G125" s="1498"/>
      <c r="H125" s="1498"/>
      <c r="I125" s="1498"/>
      <c r="J125" s="1498"/>
      <c r="K125" s="1498"/>
      <c r="L125" s="1498"/>
      <c r="M125" s="1498"/>
      <c r="N125" s="1498"/>
      <c r="O125" s="1498"/>
      <c r="P125" s="1498"/>
      <c r="Q125" s="1498"/>
      <c r="R125" s="1498"/>
      <c r="S125" s="1257" t="s">
        <v>111</v>
      </c>
      <c r="T125" s="1258" t="s">
        <v>112</v>
      </c>
      <c r="U125" s="1498"/>
      <c r="V125" s="1498"/>
      <c r="W125" s="1498"/>
      <c r="X125" s="1498"/>
      <c r="Y125" s="1498"/>
      <c r="Z125" s="1498"/>
      <c r="AA125" s="817"/>
      <c r="AB125" s="1383" t="s">
        <v>225</v>
      </c>
      <c r="AC125" s="1384" t="s">
        <v>226</v>
      </c>
      <c r="AD125" s="1384"/>
      <c r="AE125" s="1578"/>
      <c r="AF125" s="429"/>
      <c r="AG125" s="1512"/>
      <c r="AH125" s="1512"/>
      <c r="AI125" s="1512"/>
      <c r="AJ125" s="1512"/>
      <c r="AK125" s="1512"/>
      <c r="AL125" s="1512"/>
      <c r="AM125" s="1512"/>
      <c r="AN125" s="1512"/>
      <c r="AO125" s="1259"/>
      <c r="AP125" s="1259"/>
      <c r="AQ125" s="1259"/>
      <c r="AR125" s="1259"/>
      <c r="AS125" s="1259"/>
      <c r="AT125" s="1259"/>
      <c r="AU125" s="1259" t="s">
        <v>227</v>
      </c>
      <c r="AV125" s="1259"/>
      <c r="AW125" s="1259" t="s">
        <v>259</v>
      </c>
      <c r="AX125" s="1259" t="s">
        <v>256</v>
      </c>
      <c r="AY125" s="1259"/>
      <c r="AZ125" s="1259"/>
      <c r="BA125" s="1259"/>
      <c r="BB125" s="1259"/>
      <c r="BC125" s="1259"/>
      <c r="BD125" s="1259"/>
      <c r="BE125" s="1259"/>
    </row>
    <row customHeight="1" ht="19.89" hidden="1">
      <c r="A126" s="1498"/>
      <c r="B126" s="909">
        <f>HAS_DOC7="да"</f>
        <v>0</v>
      </c>
      <c r="C126" s="1498"/>
      <c r="D126" s="1498"/>
      <c r="E126" s="794">
        <v>20.4</v>
      </c>
      <c r="F126" s="963"/>
      <c r="G126" s="1498"/>
      <c r="H126" s="1498"/>
      <c r="I126" s="1498"/>
      <c r="J126" s="1498"/>
      <c r="K126" s="1498"/>
      <c r="L126" s="1498"/>
      <c r="M126" s="1498"/>
      <c r="N126" s="1498"/>
      <c r="O126" s="1498"/>
      <c r="P126" s="1498"/>
      <c r="Q126" s="1498"/>
      <c r="R126" s="1498"/>
      <c r="S126" s="1257" t="s">
        <v>111</v>
      </c>
      <c r="T126" s="1258" t="s">
        <v>112</v>
      </c>
      <c r="U126" s="1498"/>
      <c r="V126" s="1498"/>
      <c r="W126" s="1498"/>
      <c r="X126" s="1498"/>
      <c r="Y126" s="1498"/>
      <c r="Z126" s="1498"/>
      <c r="AA126" s="817"/>
      <c r="AB126" s="1383"/>
      <c r="AC126" s="1384" t="s">
        <v>228</v>
      </c>
      <c r="AD126" s="1384"/>
      <c r="AE126" s="1578"/>
      <c r="AF126" s="429"/>
      <c r="AG126" s="1512"/>
      <c r="AH126" s="1512"/>
      <c r="AI126" s="1512"/>
      <c r="AJ126" s="1512"/>
      <c r="AK126" s="1512"/>
      <c r="AL126" s="1512"/>
      <c r="AM126" s="1512"/>
      <c r="AN126" s="1512"/>
      <c r="AO126" s="1259"/>
      <c r="AP126" s="1259"/>
      <c r="AQ126" s="1259"/>
      <c r="AR126" s="1259"/>
      <c r="AS126" s="1259"/>
      <c r="AT126" s="1259"/>
      <c r="AU126" s="1259" t="s">
        <v>229</v>
      </c>
      <c r="AV126" s="1259"/>
      <c r="AW126" s="1259" t="s">
        <v>259</v>
      </c>
      <c r="AX126" s="1259" t="s">
        <v>256</v>
      </c>
      <c r="AY126" s="1259"/>
      <c r="AZ126" s="1259"/>
      <c r="BA126" s="1259"/>
      <c r="BB126" s="1259"/>
      <c r="BC126" s="1259"/>
      <c r="BD126" s="1259"/>
      <c r="BE126" s="1259"/>
    </row>
    <row customHeight="1" ht="19.89" hidden="1">
      <c r="A127" s="1498"/>
      <c r="B127" s="909">
        <f>HAS_DOC7="да"</f>
        <v>0</v>
      </c>
      <c r="C127" s="1498"/>
      <c r="D127" s="1498"/>
      <c r="E127" s="794">
        <v>20.4</v>
      </c>
      <c r="F127" s="963"/>
      <c r="G127" s="1498"/>
      <c r="H127" s="1498"/>
      <c r="I127" s="1498"/>
      <c r="J127" s="1498"/>
      <c r="K127" s="1498"/>
      <c r="L127" s="1498"/>
      <c r="M127" s="1498"/>
      <c r="N127" s="1498"/>
      <c r="O127" s="1498"/>
      <c r="P127" s="1498"/>
      <c r="Q127" s="1498"/>
      <c r="R127" s="1498"/>
      <c r="S127" s="1257" t="s">
        <v>111</v>
      </c>
      <c r="T127" s="1258" t="s">
        <v>112</v>
      </c>
      <c r="U127" s="1498"/>
      <c r="V127" s="1498"/>
      <c r="W127" s="1498"/>
      <c r="X127" s="1498"/>
      <c r="Y127" s="1498"/>
      <c r="Z127" s="1498"/>
      <c r="AA127" s="817"/>
      <c r="AB127" s="1383"/>
      <c r="AC127" s="1384" t="s">
        <v>260</v>
      </c>
      <c r="AD127" s="1384"/>
      <c r="AE127" s="1578"/>
      <c r="AF127" s="429"/>
      <c r="AG127" s="1512"/>
      <c r="AH127" s="1512"/>
      <c r="AI127" s="1512"/>
      <c r="AJ127" s="1512"/>
      <c r="AK127" s="1512"/>
      <c r="AL127" s="1512"/>
      <c r="AM127" s="1512"/>
      <c r="AN127" s="1512"/>
      <c r="AO127" s="1259"/>
      <c r="AP127" s="1259"/>
      <c r="AQ127" s="1259"/>
      <c r="AR127" s="1259"/>
      <c r="AS127" s="1259"/>
      <c r="AT127" s="1259"/>
      <c r="AU127" s="1259" t="s">
        <v>231</v>
      </c>
      <c r="AV127" s="1259"/>
      <c r="AW127" s="1259" t="s">
        <v>259</v>
      </c>
      <c r="AX127" s="1259" t="s">
        <v>256</v>
      </c>
      <c r="AY127" s="1259"/>
      <c r="AZ127" s="1259"/>
      <c r="BA127" s="1259"/>
      <c r="BB127" s="1259"/>
      <c r="BC127" s="1259"/>
      <c r="BD127" s="1259"/>
      <c r="BE127" s="1259"/>
    </row>
    <row customHeight="1" ht="19.89" hidden="1">
      <c r="A128" s="1498"/>
      <c r="B128" s="909">
        <f>HAS_DOC7="да"</f>
        <v>0</v>
      </c>
      <c r="C128" s="1498"/>
      <c r="D128" s="1498"/>
      <c r="E128" s="794">
        <v>20.4</v>
      </c>
      <c r="F128" s="963"/>
      <c r="G128" s="1498"/>
      <c r="H128" s="1498"/>
      <c r="I128" s="1498"/>
      <c r="J128" s="1498"/>
      <c r="K128" s="1498"/>
      <c r="L128" s="1498"/>
      <c r="M128" s="1498"/>
      <c r="N128" s="1498"/>
      <c r="O128" s="1498"/>
      <c r="P128" s="1498"/>
      <c r="Q128" s="1498"/>
      <c r="R128" s="1498"/>
      <c r="S128" s="1257" t="s">
        <v>111</v>
      </c>
      <c r="T128" s="1258" t="s">
        <v>112</v>
      </c>
      <c r="U128" s="1498"/>
      <c r="V128" s="1498"/>
      <c r="W128" s="1498"/>
      <c r="X128" s="1498"/>
      <c r="Y128" s="1498"/>
      <c r="Z128" s="1498"/>
      <c r="AA128" s="817"/>
      <c r="AB128" s="1383"/>
      <c r="AC128" s="1384" t="s">
        <v>232</v>
      </c>
      <c r="AD128" s="1384"/>
      <c r="AE128" s="1581"/>
      <c r="AF128" s="429"/>
      <c r="AG128" s="1512"/>
      <c r="AH128" s="1512"/>
      <c r="AI128" s="1512"/>
      <c r="AJ128" s="1512"/>
      <c r="AK128" s="1512"/>
      <c r="AL128" s="1512"/>
      <c r="AM128" s="1512"/>
      <c r="AN128" s="1512"/>
      <c r="AO128" s="1259"/>
      <c r="AP128" s="1259"/>
      <c r="AQ128" s="1259"/>
      <c r="AR128" s="1259"/>
      <c r="AS128" s="1259"/>
      <c r="AT128" s="1259"/>
      <c r="AU128" s="1259" t="s">
        <v>233</v>
      </c>
      <c r="AV128" s="1259"/>
      <c r="AW128" s="1259" t="s">
        <v>259</v>
      </c>
      <c r="AX128" s="1259" t="s">
        <v>256</v>
      </c>
      <c r="AY128" s="1259"/>
      <c r="AZ128" s="1259"/>
      <c r="BA128" s="1259"/>
      <c r="BB128" s="1259"/>
      <c r="BC128" s="1259"/>
      <c r="BD128" s="1259"/>
      <c r="BE128" s="1259"/>
    </row>
    <row customHeight="1" ht="19.89" hidden="1">
      <c r="A129" s="1498"/>
      <c r="B129" s="909">
        <f>HAS_DOC7="да"</f>
        <v>0</v>
      </c>
      <c r="C129" s="1498"/>
      <c r="D129" s="1498"/>
      <c r="E129" s="794">
        <v>20.4</v>
      </c>
      <c r="F129" s="963"/>
      <c r="G129" s="1498"/>
      <c r="H129" s="1498"/>
      <c r="I129" s="1498"/>
      <c r="J129" s="1498"/>
      <c r="K129" s="1498"/>
      <c r="L129" s="1498"/>
      <c r="M129" s="1498"/>
      <c r="N129" s="1498"/>
      <c r="O129" s="1498"/>
      <c r="P129" s="1498"/>
      <c r="Q129" s="1498"/>
      <c r="R129" s="1498"/>
      <c r="S129" s="1257" t="s">
        <v>111</v>
      </c>
      <c r="T129" s="1258" t="s">
        <v>112</v>
      </c>
      <c r="U129" s="1498"/>
      <c r="V129" s="1498"/>
      <c r="W129" s="1498"/>
      <c r="X129" s="1498"/>
      <c r="Y129" s="1498"/>
      <c r="Z129" s="1498"/>
      <c r="AA129" s="817"/>
      <c r="AB129" s="1383"/>
      <c r="AC129" s="1384" t="s">
        <v>261</v>
      </c>
      <c r="AD129" s="1384"/>
      <c r="AE129" s="1581"/>
      <c r="AF129" s="429"/>
      <c r="AG129" s="1512"/>
      <c r="AH129" s="1512"/>
      <c r="AI129" s="1512"/>
      <c r="AJ129" s="1512"/>
      <c r="AK129" s="1512"/>
      <c r="AL129" s="1512"/>
      <c r="AM129" s="1512"/>
      <c r="AN129" s="1512"/>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98"/>
      <c r="B130" s="909">
        <f>HAS_DOC7="да"</f>
        <v>0</v>
      </c>
      <c r="C130" s="1498"/>
      <c r="D130" s="1498"/>
      <c r="E130" s="794">
        <v>20.4</v>
      </c>
      <c r="F130" s="963"/>
      <c r="G130" s="1498"/>
      <c r="H130" s="1498"/>
      <c r="I130" s="1498"/>
      <c r="J130" s="1498"/>
      <c r="K130" s="1498"/>
      <c r="L130" s="1498"/>
      <c r="M130" s="1498"/>
      <c r="N130" s="1498"/>
      <c r="O130" s="1498"/>
      <c r="P130" s="1498"/>
      <c r="Q130" s="1498"/>
      <c r="R130" s="1498"/>
      <c r="S130" s="1257" t="s">
        <v>111</v>
      </c>
      <c r="T130" s="1258" t="s">
        <v>112</v>
      </c>
      <c r="U130" s="1498"/>
      <c r="V130" s="1498"/>
      <c r="W130" s="1498"/>
      <c r="X130" s="1498"/>
      <c r="Y130" s="1498"/>
      <c r="Z130" s="1498"/>
      <c r="AA130" s="817"/>
      <c r="AB130" s="1383"/>
      <c r="AC130" s="1384" t="s">
        <v>262</v>
      </c>
      <c r="AD130" s="1384"/>
      <c r="AE130" s="1581"/>
      <c r="AF130" s="429"/>
      <c r="AG130" s="1512"/>
      <c r="AH130" s="1512"/>
      <c r="AI130" s="1512"/>
      <c r="AJ130" s="1512"/>
      <c r="AK130" s="1512"/>
      <c r="AL130" s="1512"/>
      <c r="AM130" s="1512"/>
      <c r="AN130" s="1512"/>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98"/>
      <c r="B131" s="909">
        <f>HAS_DOC7="да"</f>
        <v>0</v>
      </c>
      <c r="C131" s="1498"/>
      <c r="D131" s="1498"/>
      <c r="E131" s="794">
        <v>20.4</v>
      </c>
      <c r="F131" s="963"/>
      <c r="G131" s="1498"/>
      <c r="H131" s="1498"/>
      <c r="I131" s="1498"/>
      <c r="J131" s="1498"/>
      <c r="K131" s="1498"/>
      <c r="L131" s="1498"/>
      <c r="M131" s="1498"/>
      <c r="N131" s="1498"/>
      <c r="O131" s="1498"/>
      <c r="P131" s="1498"/>
      <c r="Q131" s="1498"/>
      <c r="R131" s="1498"/>
      <c r="S131" s="1257" t="s">
        <v>111</v>
      </c>
      <c r="T131" s="1258" t="s">
        <v>112</v>
      </c>
      <c r="U131" s="1498"/>
      <c r="V131" s="1498"/>
      <c r="W131" s="816">
        <f>ROW(Y131)&gt;ROW(Y$131)</f>
        <v>0</v>
      </c>
      <c r="X131" s="1498"/>
      <c r="Y131" s="176" t="s">
        <v>235</v>
      </c>
      <c r="Z131" s="1498"/>
      <c r="AA131" s="1385" t="s">
        <v>219</v>
      </c>
      <c r="AB131" s="1383" t="s">
        <v>225</v>
      </c>
      <c r="AC131" s="1384" t="s">
        <v>226</v>
      </c>
      <c r="AD131" s="1384"/>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227</v>
      </c>
      <c r="AV131" s="1259"/>
      <c r="AW131" s="1259" t="s">
        <v>259</v>
      </c>
      <c r="AX131" s="1259" t="s">
        <v>256</v>
      </c>
      <c r="AY131" s="1259"/>
      <c r="AZ131" s="1259"/>
      <c r="BA131" s="1259"/>
      <c r="BB131" s="1259"/>
      <c r="BC131" s="1259"/>
      <c r="BD131" s="1259"/>
      <c r="BE131" s="1259"/>
    </row>
    <row customHeight="1" ht="19.89" hidden="1">
      <c r="A132" s="1498"/>
      <c r="B132" s="909">
        <f>HAS_DOC7="да"</f>
        <v>0</v>
      </c>
      <c r="C132" s="1498"/>
      <c r="D132" s="1498"/>
      <c r="E132" s="794">
        <v>20.4</v>
      </c>
      <c r="F132" s="963"/>
      <c r="G132" s="1498"/>
      <c r="H132" s="1498"/>
      <c r="I132" s="1498"/>
      <c r="J132" s="1498"/>
      <c r="K132" s="1498"/>
      <c r="L132" s="1498"/>
      <c r="M132" s="1498"/>
      <c r="N132" s="1498"/>
      <c r="O132" s="1498"/>
      <c r="P132" s="1498"/>
      <c r="Q132" s="1498"/>
      <c r="R132" s="1498"/>
      <c r="S132" s="1257" t="s">
        <v>111</v>
      </c>
      <c r="T132" s="1258" t="s">
        <v>112</v>
      </c>
      <c r="U132" s="1498"/>
      <c r="V132" s="1498"/>
      <c r="W132" s="816" cm="1" t="str">
        <f t="array" ref="W132:W132">W131</f>
        <v>false</v>
      </c>
      <c r="X132" s="1498"/>
      <c r="Y132" s="1498"/>
      <c r="Z132" s="1498"/>
      <c r="AA132" s="1385"/>
      <c r="AB132" s="1383"/>
      <c r="AC132" s="1384" t="s">
        <v>228</v>
      </c>
      <c r="AD132" s="1384"/>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229</v>
      </c>
      <c r="AV132" s="1259"/>
      <c r="AW132" s="1259" t="s">
        <v>259</v>
      </c>
      <c r="AX132" s="1259" t="s">
        <v>256</v>
      </c>
      <c r="AY132" s="1259"/>
      <c r="AZ132" s="1259"/>
      <c r="BA132" s="1259"/>
      <c r="BB132" s="1259"/>
      <c r="BC132" s="1259"/>
      <c r="BD132" s="1259"/>
      <c r="BE132" s="1259"/>
    </row>
    <row customHeight="1" ht="19.89" hidden="1">
      <c r="A133" s="1498"/>
      <c r="B133" s="909">
        <f>HAS_DOC7="да"</f>
        <v>0</v>
      </c>
      <c r="C133" s="1498"/>
      <c r="D133" s="1498"/>
      <c r="E133" s="794">
        <v>20.4</v>
      </c>
      <c r="F133" s="963"/>
      <c r="G133" s="1498"/>
      <c r="H133" s="1498"/>
      <c r="I133" s="1498"/>
      <c r="J133" s="1498"/>
      <c r="K133" s="1498"/>
      <c r="L133" s="1498"/>
      <c r="M133" s="1498"/>
      <c r="N133" s="1498"/>
      <c r="O133" s="1498"/>
      <c r="P133" s="1498"/>
      <c r="Q133" s="1498"/>
      <c r="R133" s="1498"/>
      <c r="S133" s="1257" t="s">
        <v>111</v>
      </c>
      <c r="T133" s="1258" t="s">
        <v>112</v>
      </c>
      <c r="U133" s="1498"/>
      <c r="V133" s="1498"/>
      <c r="W133" s="816" cm="1" t="str">
        <f t="array" ref="W133:W133">W132</f>
        <v>false</v>
      </c>
      <c r="X133" s="1498"/>
      <c r="Y133" s="1498"/>
      <c r="Z133" s="1498"/>
      <c r="AA133" s="1385"/>
      <c r="AB133" s="1383"/>
      <c r="AC133" s="1384" t="s">
        <v>260</v>
      </c>
      <c r="AD133" s="1384"/>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231</v>
      </c>
      <c r="AV133" s="1259"/>
      <c r="AW133" s="1259" t="s">
        <v>259</v>
      </c>
      <c r="AX133" s="1259" t="s">
        <v>256</v>
      </c>
      <c r="AY133" s="1259"/>
      <c r="AZ133" s="1259"/>
      <c r="BA133" s="1259"/>
      <c r="BB133" s="1259"/>
      <c r="BC133" s="1259"/>
      <c r="BD133" s="1259"/>
      <c r="BE133" s="1259"/>
    </row>
    <row customHeight="1" ht="19.89" hidden="1">
      <c r="A134" s="1498"/>
      <c r="B134" s="909">
        <f>HAS_DOC7="да"</f>
        <v>0</v>
      </c>
      <c r="C134" s="1498"/>
      <c r="D134" s="1498"/>
      <c r="E134" s="794">
        <v>20.4</v>
      </c>
      <c r="F134" s="963"/>
      <c r="G134" s="1498"/>
      <c r="H134" s="1498"/>
      <c r="I134" s="1498"/>
      <c r="J134" s="1498"/>
      <c r="K134" s="1498"/>
      <c r="L134" s="1498"/>
      <c r="M134" s="1498"/>
      <c r="N134" s="1498"/>
      <c r="O134" s="1498"/>
      <c r="P134" s="1498"/>
      <c r="Q134" s="1498"/>
      <c r="R134" s="1498"/>
      <c r="S134" s="1257" t="s">
        <v>111</v>
      </c>
      <c r="T134" s="1258" t="s">
        <v>112</v>
      </c>
      <c r="U134" s="1498"/>
      <c r="V134" s="1498"/>
      <c r="W134" s="816" cm="1" t="str">
        <f t="array" ref="W134:W134">W133</f>
        <v>false</v>
      </c>
      <c r="X134" s="1498"/>
      <c r="Y134" s="1498"/>
      <c r="Z134" s="1498"/>
      <c r="AA134" s="1385"/>
      <c r="AB134" s="1383"/>
      <c r="AC134" s="1384" t="s">
        <v>232</v>
      </c>
      <c r="AD134" s="1384"/>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233</v>
      </c>
      <c r="AV134" s="1259"/>
      <c r="AW134" s="1259" t="s">
        <v>259</v>
      </c>
      <c r="AX134" s="1259" t="s">
        <v>256</v>
      </c>
      <c r="AY134" s="1259"/>
      <c r="AZ134" s="1259"/>
      <c r="BA134" s="1259"/>
      <c r="BB134" s="1259"/>
      <c r="BC134" s="1259"/>
      <c r="BD134" s="1259"/>
      <c r="BE134" s="1259"/>
    </row>
    <row customHeight="1" ht="19.89" hidden="1">
      <c r="A135" s="1498"/>
      <c r="B135" s="909">
        <f>HAS_DOC7="да"</f>
        <v>0</v>
      </c>
      <c r="C135" s="1498"/>
      <c r="D135" s="1498"/>
      <c r="E135" s="794">
        <v>20.4</v>
      </c>
      <c r="F135" s="963"/>
      <c r="G135" s="1498"/>
      <c r="H135" s="1498"/>
      <c r="I135" s="1498"/>
      <c r="J135" s="1498"/>
      <c r="K135" s="1498"/>
      <c r="L135" s="1498"/>
      <c r="M135" s="1498"/>
      <c r="N135" s="1498"/>
      <c r="O135" s="1498"/>
      <c r="P135" s="1498"/>
      <c r="Q135" s="1498"/>
      <c r="R135" s="1498"/>
      <c r="S135" s="1257" t="s">
        <v>111</v>
      </c>
      <c r="T135" s="1258" t="s">
        <v>112</v>
      </c>
      <c r="U135" s="1498"/>
      <c r="V135" s="1498"/>
      <c r="W135" s="816" cm="1" t="str">
        <f t="array" ref="W135:W135">W134</f>
        <v>false</v>
      </c>
      <c r="X135" s="1498"/>
      <c r="Y135" s="1498"/>
      <c r="Z135" s="1498"/>
      <c r="AA135" s="1385"/>
      <c r="AB135" s="1383"/>
      <c r="AC135" s="1384" t="s">
        <v>261</v>
      </c>
      <c r="AD135" s="1384"/>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98"/>
      <c r="B136" s="909">
        <f>HAS_DOC7="да"</f>
        <v>0</v>
      </c>
      <c r="C136" s="1498"/>
      <c r="D136" s="1498"/>
      <c r="E136" s="794">
        <v>20.4</v>
      </c>
      <c r="F136" s="963"/>
      <c r="G136" s="1498"/>
      <c r="H136" s="1498"/>
      <c r="I136" s="1498"/>
      <c r="J136" s="1498"/>
      <c r="K136" s="1498"/>
      <c r="L136" s="1498"/>
      <c r="M136" s="1498"/>
      <c r="N136" s="1498"/>
      <c r="O136" s="1498"/>
      <c r="P136" s="1498"/>
      <c r="Q136" s="1498"/>
      <c r="R136" s="1498"/>
      <c r="S136" s="1257" t="s">
        <v>111</v>
      </c>
      <c r="T136" s="1258" t="s">
        <v>112</v>
      </c>
      <c r="U136" s="1498"/>
      <c r="V136" s="1498"/>
      <c r="W136" s="816" cm="1" t="str">
        <f t="array" ref="W136:W136">W135</f>
        <v>false</v>
      </c>
      <c r="X136" s="1498"/>
      <c r="Y136" s="1498"/>
      <c r="Z136" s="1498"/>
      <c r="AA136" s="1385"/>
      <c r="AB136" s="1383"/>
      <c r="AC136" s="1384" t="s">
        <v>262</v>
      </c>
      <c r="AD136" s="1384"/>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98"/>
      <c r="B137" s="909">
        <f>HAS_DOC7="да"</f>
        <v>0</v>
      </c>
      <c r="C137" s="1498"/>
      <c r="D137" s="1498"/>
      <c r="E137" s="794">
        <v>15</v>
      </c>
      <c r="F137" s="211" t="s">
        <v>257</v>
      </c>
      <c r="G137" s="1498"/>
      <c r="H137" s="1498"/>
      <c r="I137" s="1498"/>
      <c r="J137" s="1498"/>
      <c r="K137" s="1498"/>
      <c r="L137" s="1498"/>
      <c r="M137" s="1498"/>
      <c r="N137" s="1498"/>
      <c r="O137" s="1498"/>
      <c r="P137" s="1498"/>
      <c r="Q137" s="1498"/>
      <c r="R137" s="1498"/>
      <c r="S137" s="1263"/>
      <c r="T137" s="1264"/>
      <c r="U137" s="1498"/>
      <c r="V137" s="1498"/>
      <c r="W137" s="1498"/>
      <c r="X137" s="1498"/>
      <c r="Y137" s="371" t="s">
        <v>236</v>
      </c>
      <c r="Z137" s="1498"/>
      <c r="AA137" s="817"/>
      <c r="AB137" s="339"/>
      <c r="AC137" s="338"/>
      <c r="AD137" s="338"/>
      <c r="AE137" s="337" t="s">
        <v>237</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4" t="s">
        <v>263</v>
      </c>
      <c r="AC138" s="1384"/>
      <c r="AD138" s="1384"/>
      <c r="AE138" s="420"/>
      <c r="AF138" s="429"/>
      <c r="AG138" s="152"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4"/>
      <c r="AC139" s="1384"/>
      <c r="AD139" s="1384"/>
      <c r="AE139" s="472"/>
      <c r="AF139" s="434"/>
      <c r="AG139" s="152" t="s">
        <v>265</v>
      </c>
    </row>
    <row customHeight="1" ht="11.0175">
      <c r="E140" s="794">
        <v>11.3</v>
      </c>
      <c r="AE140" s="211" t="s">
        <v>242</v>
      </c>
      <c r="AF140" s="429"/>
    </row>
    <row customHeight="1" ht="19.89">
      <c r="E141" s="794">
        <v>20.4</v>
      </c>
      <c r="S141" s="1257" t="s">
        <v>111</v>
      </c>
      <c r="T141" s="1258" t="s">
        <v>112</v>
      </c>
      <c r="AB141" s="1384" t="s">
        <v>266</v>
      </c>
      <c r="AC141" s="1384"/>
      <c r="AD141" s="181" t="s">
        <v>267</v>
      </c>
      <c r="AE141" s="420" t="s">
        <v>268</v>
      </c>
      <c r="AF141" s="429"/>
      <c r="AG141" s="152"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4">
        <v>20.4</v>
      </c>
      <c r="S142" s="1257" t="s">
        <v>111</v>
      </c>
      <c r="T142" s="1258" t="s">
        <v>112</v>
      </c>
      <c r="AB142" s="1384"/>
      <c r="AC142" s="1384"/>
      <c r="AD142" s="182" t="s">
        <v>271</v>
      </c>
      <c r="AE142" s="420" t="s">
        <v>272</v>
      </c>
      <c r="AF142" s="429"/>
      <c r="AG142" s="152"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4">
        <v>20.4</v>
      </c>
      <c r="S143" s="1257" t="s">
        <v>111</v>
      </c>
      <c r="T143" s="1258" t="s">
        <v>112</v>
      </c>
      <c r="AB143" s="1384"/>
      <c r="AC143" s="1384"/>
      <c r="AD143" s="182" t="s">
        <v>275</v>
      </c>
      <c r="AE143" s="420" t="s">
        <v>276</v>
      </c>
      <c r="AF143" s="429"/>
      <c r="AG143" s="152"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4">
        <v>20.4</v>
      </c>
      <c r="S144" s="1257" t="s">
        <v>111</v>
      </c>
      <c r="T144" s="1258" t="s">
        <v>112</v>
      </c>
      <c r="AB144" s="1384"/>
      <c r="AC144" s="1384"/>
      <c r="AD144" s="181" t="s">
        <v>279</v>
      </c>
      <c r="AE144" s="1576" t="s">
        <v>280</v>
      </c>
      <c r="AF144" s="429"/>
      <c r="AG144" s="152"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20" t="s">
        <v>283</v>
      </c>
      <c r="AC146" s="1420"/>
      <c r="AD146" s="1420"/>
      <c r="AE146" s="1420"/>
      <c r="AF146" s="429"/>
    </row>
    <row customHeight="1" ht="14.625">
      <c r="E147" s="794">
        <v>15</v>
      </c>
      <c r="AB147" s="1387" t="s">
        <v>284</v>
      </c>
      <c r="AC147" s="1387"/>
      <c r="AD147" s="1387"/>
      <c r="AE147" s="1387"/>
      <c r="AF147" s="459"/>
    </row>
    <row customHeight="1" ht="14.625">
      <c r="E148" s="794">
        <v>15</v>
      </c>
      <c r="AB148" s="1387" t="s">
        <v>285</v>
      </c>
      <c r="AC148" s="1387"/>
      <c r="AD148" s="1387"/>
      <c r="AE148" s="1387"/>
      <c r="AF148" s="459"/>
    </row>
    <row customHeight="1" ht="14.625">
      <c r="E149" s="794">
        <v>15</v>
      </c>
      <c r="AB149" s="1387" t="s">
        <v>286</v>
      </c>
      <c r="AC149" s="1387"/>
      <c r="AD149" s="1387"/>
      <c r="AE149" s="1387"/>
      <c r="AF149" s="459"/>
      <c r="AL149" s="1608"/>
    </row>
    <row customHeight="1" ht="16.867500000000003">
      <c r="E150" s="794">
        <v>17.3</v>
      </c>
      <c r="AB150" s="1431" t="s">
        <v>287</v>
      </c>
      <c r="AC150" s="1431"/>
      <c r="AD150" s="1431"/>
      <c r="AE150" s="1431"/>
      <c r="AF150" s="180"/>
    </row>
    <row customHeight="1" ht="16.867500000000003">
      <c r="E151" s="794">
        <v>17.3</v>
      </c>
      <c r="AB151" s="1427" t="s">
        <v>288</v>
      </c>
      <c r="AC151" s="1427"/>
      <c r="AD151" s="1427"/>
      <c r="AE151" s="1427"/>
      <c r="AF151" s="180"/>
    </row>
    <row customHeight="1" ht="29.25">
      <c r="E152" s="794">
        <v>30</v>
      </c>
      <c r="AB152" s="1427" t="s">
        <v>289</v>
      </c>
      <c r="AC152" s="1427"/>
      <c r="AD152" s="1427"/>
      <c r="AE152" s="1427"/>
      <c r="AF152" s="180"/>
    </row>
    <row customHeight="1" ht="15.405000000000001">
      <c r="E153" s="794">
        <v>15.8</v>
      </c>
      <c r="AB153" s="1427" t="s">
        <v>290</v>
      </c>
      <c r="AC153" s="1427"/>
      <c r="AD153" s="1427"/>
      <c r="AE153" s="1427"/>
      <c r="AF153" s="180"/>
    </row>
    <row customHeight="1" ht="55.57500000000001">
      <c r="E154" s="794">
        <v>57</v>
      </c>
      <c r="AB154" s="1427" t="s">
        <v>291</v>
      </c>
      <c r="AC154" s="1427"/>
      <c r="AD154" s="1427"/>
      <c r="AE154" s="1427"/>
      <c r="AF154" s="180"/>
    </row>
    <row customHeight="1" ht="45.337500000000006">
      <c r="E155" s="794">
        <v>46.5</v>
      </c>
      <c r="AB155" s="1427" t="s">
        <v>292</v>
      </c>
      <c r="AC155" s="1427"/>
      <c r="AD155" s="1427"/>
      <c r="AE155" s="1427"/>
      <c r="AF155" s="180"/>
    </row>
    <row customHeight="1" ht="27.105">
      <c r="E156" s="794">
        <v>27.8</v>
      </c>
      <c r="AB156" s="1427" t="s">
        <v>293</v>
      </c>
      <c r="AC156" s="1427"/>
      <c r="AD156" s="1427"/>
      <c r="AE156" s="1427"/>
      <c r="AF156" s="180"/>
    </row>
    <row customHeight="1" ht="26.325000000000003">
      <c r="E157" s="794">
        <v>27</v>
      </c>
      <c r="AB157" s="1427" t="s">
        <v>294</v>
      </c>
      <c r="AC157" s="1427"/>
      <c r="AD157" s="1427"/>
      <c r="AE157" s="1427"/>
      <c r="AF157" s="180"/>
    </row>
    <row customHeight="1" ht="14.625">
      <c r="E158" s="794">
        <v>15</v>
      </c>
      <c r="AB158" s="1428" t="s">
        <v>295</v>
      </c>
      <c r="AC158" s="1428"/>
      <c r="AD158" s="1428"/>
      <c r="AE158" s="1428"/>
      <c r="AF158" s="180"/>
    </row>
    <row customHeight="1" ht="23.400000000000002">
      <c r="E159" s="794">
        <v>24</v>
      </c>
      <c r="AB159" s="1427" t="s">
        <v>296</v>
      </c>
      <c r="AC159" s="1427"/>
      <c r="AD159" s="1427"/>
      <c r="AE159" s="1427"/>
      <c r="AF159" s="459"/>
    </row>
    <row customHeight="1" ht="17.55">
      <c r="E160" s="794">
        <v>18</v>
      </c>
      <c r="AB160" s="1390" t="s">
        <v>297</v>
      </c>
      <c r="AC160" s="1391"/>
      <c r="AD160" s="1391"/>
      <c r="AE160" s="1392"/>
      <c r="AF160" s="459"/>
    </row>
    <row customHeight="1" ht="16.0875">
      <c r="E161" s="794">
        <v>16.5</v>
      </c>
      <c r="AB161" s="1428" t="s">
        <v>298</v>
      </c>
      <c r="AC161" s="1428"/>
      <c r="AD161" s="1428"/>
      <c r="AE161" s="1428"/>
      <c r="AF161" s="459"/>
    </row>
    <row customHeight="1" ht="40.2675">
      <c r="E162" s="794">
        <v>41.3</v>
      </c>
      <c r="S162" s="1263"/>
      <c r="T162" s="1264"/>
      <c r="AB162" s="1393"/>
      <c r="AC162" s="1393"/>
      <c r="AD162" s="1393"/>
      <c r="AE162" s="1393"/>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29" t="s">
        <v>299</v>
      </c>
      <c r="AC164" s="1429"/>
      <c r="AD164" s="1429"/>
      <c r="AE164" s="1430"/>
      <c r="AF164" s="432"/>
      <c r="AG164" s="177"/>
      <c r="AH164" s="177"/>
      <c r="AI164" s="177"/>
      <c r="AJ164" s="177"/>
      <c r="AK164" s="177"/>
      <c r="AL164" s="187"/>
    </row>
    <row customHeight="1" ht="23.985000000000003">
      <c r="E165" s="794">
        <v>24.6</v>
      </c>
      <c r="S165" s="1257" t="s">
        <v>186</v>
      </c>
      <c r="T165" s="1258" t="s">
        <v>187</v>
      </c>
      <c r="AB165" s="1398" t="s">
        <v>300</v>
      </c>
      <c r="AC165" s="1399"/>
      <c r="AD165" s="1399"/>
      <c r="AE165" s="829" t="s">
        <v>190</v>
      </c>
      <c r="AF165" s="434"/>
      <c r="AG165" s="177" t="s">
        <v>301</v>
      </c>
      <c r="AH165" s="177"/>
      <c r="AI165" s="177"/>
      <c r="AJ165" s="177"/>
      <c r="AK165" s="177"/>
      <c r="AL165" s="187"/>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4">
        <v>20.4</v>
      </c>
      <c r="S166" s="1257" t="s">
        <v>111</v>
      </c>
      <c r="T166" s="1258" t="s">
        <v>112</v>
      </c>
      <c r="AB166" s="1394" t="s">
        <v>303</v>
      </c>
      <c r="AC166" s="1395"/>
      <c r="AD166" s="830" t="s">
        <v>228</v>
      </c>
      <c r="AE166" s="457" t="s">
        <v>304</v>
      </c>
      <c r="AF166" s="429"/>
      <c r="AG166" s="177" t="s">
        <v>305</v>
      </c>
      <c r="AH166" s="177"/>
      <c r="AI166" s="177"/>
      <c r="AJ166" s="177"/>
      <c r="AK166" s="177"/>
      <c r="AL166" s="187"/>
      <c r="AO166" s="1259"/>
      <c r="AP166" s="1259"/>
      <c r="AQ166" s="1259"/>
      <c r="AR166" s="1259"/>
      <c r="AS166" s="1259"/>
      <c r="AT166" s="1259"/>
      <c r="AU166" s="1259" t="s">
        <v>229</v>
      </c>
      <c r="AV166" s="1259"/>
      <c r="AW166" s="1259"/>
      <c r="AX166" s="1259"/>
      <c r="AY166" s="1259"/>
      <c r="AZ166" s="1259" t="s">
        <v>302</v>
      </c>
      <c r="BA166" s="1259"/>
      <c r="BB166" s="1259"/>
      <c r="BC166" s="1259"/>
      <c r="BD166" s="1259"/>
      <c r="BE166" s="1259"/>
    </row>
    <row customHeight="1" ht="19.89">
      <c r="B167" s="955">
        <f>FIRST_TIME_REG&lt;&gt;"да"</f>
        <v>1</v>
      </c>
      <c r="E167" s="794">
        <v>20.4</v>
      </c>
      <c r="S167" s="1257" t="s">
        <v>111</v>
      </c>
      <c r="T167" s="1258" t="s">
        <v>112</v>
      </c>
      <c r="AB167" s="1394"/>
      <c r="AC167" s="1395"/>
      <c r="AD167" s="442" t="s">
        <v>260</v>
      </c>
      <c r="AE167" s="420" t="s">
        <v>306</v>
      </c>
      <c r="AF167" s="429"/>
      <c r="AG167" s="152" t="s">
        <v>307</v>
      </c>
      <c r="AO167" s="1259"/>
      <c r="AP167" s="1259"/>
      <c r="AQ167" s="1259"/>
      <c r="AR167" s="1259"/>
      <c r="AS167" s="1259"/>
      <c r="AT167" s="1259"/>
      <c r="AU167" s="1259" t="s">
        <v>231</v>
      </c>
      <c r="AV167" s="1259"/>
      <c r="AW167" s="1259"/>
      <c r="AX167" s="1259"/>
      <c r="AY167" s="1259"/>
      <c r="AZ167" s="1259" t="s">
        <v>302</v>
      </c>
      <c r="BA167" s="1259"/>
      <c r="BB167" s="1259"/>
      <c r="BC167" s="1259"/>
      <c r="BD167" s="1259"/>
      <c r="BE167" s="1259"/>
    </row>
    <row customHeight="1" ht="19.89">
      <c r="B168" s="955">
        <f>FIRST_TIME_REG&lt;&gt;"да"</f>
        <v>1</v>
      </c>
      <c r="E168" s="794">
        <v>20.4</v>
      </c>
      <c r="S168" s="1257" t="s">
        <v>111</v>
      </c>
      <c r="T168" s="1258" t="s">
        <v>112</v>
      </c>
      <c r="AB168" s="1396"/>
      <c r="AC168" s="1397"/>
      <c r="AD168" s="442" t="s">
        <v>232</v>
      </c>
      <c r="AE168" s="905">
        <v>45279</v>
      </c>
      <c r="AF168" s="429"/>
      <c r="AG168" s="152" t="s">
        <v>308</v>
      </c>
      <c r="AO168" s="1259"/>
      <c r="AP168" s="1259"/>
      <c r="AQ168" s="1259"/>
      <c r="AR168" s="1259"/>
      <c r="AS168" s="1259"/>
      <c r="AT168" s="1259"/>
      <c r="AU168" s="1259" t="s">
        <v>233</v>
      </c>
      <c r="AV168" s="1259"/>
      <c r="AW168" s="1259"/>
      <c r="AX168" s="1259"/>
      <c r="AY168" s="1259"/>
      <c r="AZ168" s="1259" t="s">
        <v>302</v>
      </c>
      <c r="BA168" s="1259"/>
      <c r="BB168" s="1259"/>
      <c r="BC168" s="1259"/>
      <c r="BD168" s="1259"/>
      <c r="BE168" s="1259"/>
    </row>
    <row customHeight="1" ht="14.625">
      <c r="E169" s="794">
        <v>15</v>
      </c>
      <c r="S169" s="1257"/>
      <c r="T169" s="1258"/>
      <c r="AB169" s="1388" t="str">
        <f>"Заявление организации"</f>
        <v>Заявление организации</v>
      </c>
      <c r="AC169" s="1389"/>
      <c r="AD169" s="444"/>
      <c r="AE169" s="445"/>
      <c r="AF169" s="424"/>
      <c r="AG169" s="1512" t="s">
        <v>309</v>
      </c>
      <c r="AI169" s="234"/>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311</v>
      </c>
      <c r="Z170" s="156">
        <v>0</v>
      </c>
      <c r="AB170" s="48"/>
      <c r="AC170" s="49"/>
      <c r="AD170" s="450" t="str">
        <f>"Тариф "&amp;Z170</f>
        <v>Тариф 0</v>
      </c>
      <c r="AE170" s="451" t="s">
        <v>312</v>
      </c>
      <c r="AF170" s="1416"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314</v>
      </c>
      <c r="AE171" s="440"/>
      <c r="AF171" s="1416"/>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315</v>
      </c>
      <c r="AE172" s="50"/>
      <c r="AF172" s="1416"/>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317</v>
      </c>
      <c r="AE173" s="51"/>
      <c r="AF173" s="1416"/>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319</v>
      </c>
      <c r="AE174" s="52"/>
      <c r="AF174" s="1416"/>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321</v>
      </c>
      <c r="AE175" s="1115"/>
      <c r="AF175" s="1416"/>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4">
        <v>0</v>
      </c>
      <c r="G176" s="920" cm="1" t="str">
        <f t="array" ref="G176:G176">G175</f>
        <v>0</v>
      </c>
      <c r="S176" s="1257" t="s">
        <v>111</v>
      </c>
      <c r="T176" s="1258" t="s">
        <v>112</v>
      </c>
      <c r="W176" s="816" t="b">
        <v>0</v>
      </c>
      <c r="AB176" s="48"/>
      <c r="AC176" s="49"/>
      <c r="AD176" s="181" t="s">
        <v>323</v>
      </c>
      <c r="AE176" s="472"/>
      <c r="AF176" s="1416"/>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215</v>
      </c>
      <c r="T177" s="1258" t="s">
        <v>216</v>
      </c>
      <c r="W177" s="816" cm="1" t="str">
        <f t="array" ref="W177:W177">W175</f>
        <v>false</v>
      </c>
      <c r="AB177" s="48"/>
      <c r="AC177" s="49"/>
      <c r="AD177" s="181" t="s">
        <v>324</v>
      </c>
      <c r="AE177" s="465"/>
      <c r="AF177" s="1416"/>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325</v>
      </c>
      <c r="AE178" s="1115"/>
      <c r="AF178" s="1416"/>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327</v>
      </c>
      <c r="AE179" s="53"/>
      <c r="AF179" s="1416"/>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329</v>
      </c>
      <c r="AE180" s="54"/>
      <c r="AF180" s="1416"/>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331</v>
      </c>
      <c r="AE181" s="53"/>
      <c r="AF181" s="1416"/>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333</v>
      </c>
      <c r="AE182" s="904" t="str">
        <f>IF(AE$24="","",DATE(AE$24,1,1))</f>
        <v>46023</v>
      </c>
      <c r="AF182" s="1416"/>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335</v>
      </c>
      <c r="AE183" s="55" cm="1" t="str">
        <f t="array" ref="AE183:AE183">IF(method_reg="","",method_reg)</f>
        <v>Метод индексации</v>
      </c>
      <c r="AF183" s="1416"/>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16"/>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16"/>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09" customFormat="1" customHeight="1" ht="19.5">
      <c r="A186" s="1498"/>
      <c r="B186" s="925"/>
      <c r="C186" s="1498"/>
      <c r="D186" s="1498"/>
      <c r="E186" s="794">
        <v>20.4</v>
      </c>
      <c r="F186" s="963"/>
      <c r="G186" s="920" cm="1" t="str">
        <f t="array" ref="G186:G186">Z186</f>
        <v>1</v>
      </c>
      <c r="H186" s="1498"/>
      <c r="I186" s="1498"/>
      <c r="J186" s="1498"/>
      <c r="K186" s="1498"/>
      <c r="L186" s="1498"/>
      <c r="M186" s="1498"/>
      <c r="N186" s="1498"/>
      <c r="O186" s="1498"/>
      <c r="P186" s="1498"/>
      <c r="Q186" s="1498"/>
      <c r="R186" s="1498"/>
      <c r="S186" s="1257" t="s">
        <v>111</v>
      </c>
      <c r="T186" s="1258" t="s">
        <v>112</v>
      </c>
      <c r="U186" s="1498"/>
      <c r="V186" s="1498"/>
      <c r="W186" s="816">
        <f>Z186&gt;0</f>
        <v>1</v>
      </c>
      <c r="X186" s="371"/>
      <c r="Y186" s="1498"/>
      <c r="Z186" s="156" t="s">
        <v>337</v>
      </c>
      <c r="AA186" s="817"/>
      <c r="AB186" s="1610"/>
      <c r="AC186" s="1611"/>
      <c r="AD186" s="450" t="str">
        <f>"Тариф "&amp;Z186</f>
        <v>Тариф 1</v>
      </c>
      <c r="AE186" s="451" t="s">
        <v>312</v>
      </c>
      <c r="AF186" s="1416" t="s">
        <v>219</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6" cm="1" t="str">
        <f t="array" ref="AO186:AO186">AE187</f>
        <v>ТЭ.73.28136693.0002</v>
      </c>
      <c r="AP186" s="1259"/>
      <c r="AQ186" s="1259"/>
      <c r="AR186" s="1259"/>
      <c r="AS186" s="1259"/>
      <c r="AT186" s="1259"/>
      <c r="AU186" s="1259"/>
      <c r="AV186" s="1259"/>
      <c r="AW186" s="1259"/>
      <c r="AX186" s="1259"/>
      <c r="AY186" s="1259"/>
      <c r="AZ186" s="1259"/>
      <c r="BA186" s="1259"/>
      <c r="BB186" s="1259"/>
      <c r="BC186" s="1259"/>
      <c r="BD186" s="1259" t="s">
        <v>313</v>
      </c>
      <c r="BE186" s="1259"/>
    </row>
    <row s="1612" customFormat="1" customHeight="1" ht="19.5">
      <c r="A187" s="1498"/>
      <c r="B187" s="925"/>
      <c r="C187" s="1498"/>
      <c r="D187" s="1498"/>
      <c r="E187" s="794">
        <v>20.4</v>
      </c>
      <c r="F187" s="963"/>
      <c r="G187" s="920" cm="1" t="str">
        <f t="array" ref="G187:G187">G186</f>
        <v>1</v>
      </c>
      <c r="H187" s="1498"/>
      <c r="I187" s="1498"/>
      <c r="J187" s="1498"/>
      <c r="K187" s="1498"/>
      <c r="L187" s="1498"/>
      <c r="M187" s="1498"/>
      <c r="N187" s="948" cm="1" t="str">
        <f t="array" ref="N187:N187">AE187</f>
        <v>ТЭ.73.28136693.0002</v>
      </c>
      <c r="O187" s="1498"/>
      <c r="P187" s="1498"/>
      <c r="Q187" s="1498"/>
      <c r="R187" s="1498"/>
      <c r="S187" s="1257" t="s">
        <v>111</v>
      </c>
      <c r="T187" s="1258" t="s">
        <v>112</v>
      </c>
      <c r="U187" s="1498"/>
      <c r="V187" s="1498"/>
      <c r="W187" s="816" cm="1" t="str">
        <f t="array" ref="W187:W187">W186</f>
        <v>true</v>
      </c>
      <c r="X187" s="1498"/>
      <c r="Y187" s="1498"/>
      <c r="Z187" s="1498"/>
      <c r="AA187" s="817"/>
      <c r="AB187" s="1610"/>
      <c r="AC187" s="1611"/>
      <c r="AD187" s="446" t="s">
        <v>314</v>
      </c>
      <c r="AE187" s="440" t="s">
        <v>309</v>
      </c>
      <c r="AF187" s="1416"/>
      <c r="AG187" s="1512"/>
      <c r="AH187" s="1512"/>
      <c r="AI187" s="1512"/>
      <c r="AJ187" s="1512"/>
      <c r="AK187" s="1512"/>
      <c r="AL187" s="1512"/>
      <c r="AM187" s="1512"/>
      <c r="AN187" s="1512"/>
      <c r="AO187" s="1266" cm="1" t="str">
        <f t="array" ref="AO187:AO187">AO186</f>
        <v>ТЭ.73.28136693.0002</v>
      </c>
      <c r="AP187" s="1259"/>
      <c r="AQ187" s="1259"/>
      <c r="AR187" s="1259" t="s">
        <v>310</v>
      </c>
      <c r="AS187" s="1259"/>
      <c r="AT187" s="1259"/>
      <c r="AU187" s="1259"/>
      <c r="AV187" s="1259"/>
      <c r="AW187" s="1259"/>
      <c r="AX187" s="1259"/>
      <c r="AY187" s="1259"/>
      <c r="AZ187" s="1259"/>
      <c r="BA187" s="1259"/>
      <c r="BB187" s="1259"/>
      <c r="BC187" s="1259"/>
      <c r="BD187" s="1259"/>
      <c r="BE187" s="1259"/>
    </row>
    <row s="1613" customFormat="1" customHeight="1" ht="29.25">
      <c r="A188" s="1498"/>
      <c r="B188" s="925"/>
      <c r="C188" s="1498"/>
      <c r="D188" s="1498"/>
      <c r="E188" s="794">
        <v>30</v>
      </c>
      <c r="F188" s="963"/>
      <c r="G188" s="920" cm="1" t="str">
        <f t="array" ref="G188:G188">G187</f>
        <v>1</v>
      </c>
      <c r="H188" s="1498"/>
      <c r="I188" s="1498"/>
      <c r="J188" s="1498"/>
      <c r="K188" s="1498"/>
      <c r="L188" s="1498"/>
      <c r="M188" s="1498"/>
      <c r="N188" s="1498"/>
      <c r="O188" s="1498"/>
      <c r="P188" s="1498"/>
      <c r="Q188" s="1498"/>
      <c r="R188" s="1498"/>
      <c r="S188" s="1257" t="s">
        <v>111</v>
      </c>
      <c r="T188" s="1258" t="s">
        <v>112</v>
      </c>
      <c r="U188" s="1498"/>
      <c r="V188" s="1498"/>
      <c r="W188" s="816" cm="1" t="str">
        <f t="array" ref="W188:W188">W187</f>
        <v>true</v>
      </c>
      <c r="X188" s="1498"/>
      <c r="Y188" s="1498"/>
      <c r="Z188" s="1498"/>
      <c r="AA188" s="817"/>
      <c r="AB188" s="1610"/>
      <c r="AC188" s="1611"/>
      <c r="AD188" s="446" t="s">
        <v>315</v>
      </c>
      <c r="AE188" s="1614" t="s">
        <v>338</v>
      </c>
      <c r="AF188" s="1416"/>
      <c r="AG188" s="1512"/>
      <c r="AH188" s="1512"/>
      <c r="AI188" s="1512"/>
      <c r="AJ188" s="1512"/>
      <c r="AK188" s="1512"/>
      <c r="AL188" s="1512"/>
      <c r="AM188" s="1512"/>
      <c r="AN188" s="1512"/>
      <c r="AO188" s="1266" cm="1" t="str">
        <f t="array" ref="AO188:AO188">AO187</f>
        <v>ТЭ.73.28136693.0002</v>
      </c>
      <c r="AP188" s="1259"/>
      <c r="AQ188" s="1259"/>
      <c r="AR188" s="1259" t="s">
        <v>316</v>
      </c>
      <c r="AS188" s="1259"/>
      <c r="AT188" s="1259"/>
      <c r="AU188" s="1259"/>
      <c r="AV188" s="1259"/>
      <c r="AW188" s="1259"/>
      <c r="AX188" s="1259"/>
      <c r="AY188" s="1259"/>
      <c r="AZ188" s="1259"/>
      <c r="BA188" s="1259"/>
      <c r="BB188" s="1259"/>
      <c r="BC188" s="1259"/>
      <c r="BD188" s="1259"/>
      <c r="BE188" s="1259"/>
    </row>
    <row s="1615" customFormat="1" customHeight="1" ht="19.5">
      <c r="A189" s="1498"/>
      <c r="B189" s="925"/>
      <c r="C189" s="1498"/>
      <c r="D189" s="1498"/>
      <c r="E189" s="794">
        <v>20.4</v>
      </c>
      <c r="F189" s="963"/>
      <c r="G189" s="920" cm="1" t="str">
        <f t="array" ref="G189:G189">G188</f>
        <v>1</v>
      </c>
      <c r="H189" s="1498"/>
      <c r="I189" s="1498"/>
      <c r="J189" s="1498"/>
      <c r="K189" s="1498"/>
      <c r="L189" s="1498"/>
      <c r="M189" s="1498"/>
      <c r="N189" s="1498"/>
      <c r="O189" s="1498"/>
      <c r="P189" s="1498"/>
      <c r="Q189" s="1498"/>
      <c r="R189" s="1498"/>
      <c r="S189" s="1257" t="s">
        <v>111</v>
      </c>
      <c r="T189" s="1258" t="s">
        <v>112</v>
      </c>
      <c r="U189" s="1498"/>
      <c r="V189" s="1498"/>
      <c r="W189" s="816" cm="1" t="str">
        <f t="array" ref="W189:W189">W188</f>
        <v>true</v>
      </c>
      <c r="X189" s="1498"/>
      <c r="Y189" s="1498"/>
      <c r="Z189" s="1498"/>
      <c r="AA189" s="817"/>
      <c r="AB189" s="1610"/>
      <c r="AC189" s="1611"/>
      <c r="AD189" s="446" t="s">
        <v>317</v>
      </c>
      <c r="AE189" s="1616" t="s">
        <v>339</v>
      </c>
      <c r="AF189" s="1416"/>
      <c r="AG189" s="1512"/>
      <c r="AH189" s="1512"/>
      <c r="AI189" s="1512"/>
      <c r="AJ189" s="1512"/>
      <c r="AK189" s="1512"/>
      <c r="AL189" s="1512"/>
      <c r="AM189" s="1512"/>
      <c r="AN189" s="1512"/>
      <c r="AO189" s="1266" cm="1" t="str">
        <f t="array" ref="AO189:AO189">AO188</f>
        <v>ТЭ.73.28136693.0002</v>
      </c>
      <c r="AP189" s="1259"/>
      <c r="AQ189" s="1259"/>
      <c r="AR189" s="1259"/>
      <c r="AS189" s="1259"/>
      <c r="AT189" s="1259"/>
      <c r="AU189" s="1259"/>
      <c r="AV189" s="1259"/>
      <c r="AW189" s="1259"/>
      <c r="AX189" s="1259"/>
      <c r="AY189" s="1259"/>
      <c r="AZ189" s="1259"/>
      <c r="BA189" s="1259" t="s">
        <v>318</v>
      </c>
      <c r="BB189" s="1259"/>
      <c r="BC189" s="1259"/>
      <c r="BD189" s="1259"/>
      <c r="BE189" s="1259"/>
    </row>
    <row s="1617" customFormat="1" customHeight="1" ht="19.5">
      <c r="A190" s="1498"/>
      <c r="B190" s="925"/>
      <c r="C190" s="1498"/>
      <c r="D190" s="1498"/>
      <c r="E190" s="794">
        <v>20.4</v>
      </c>
      <c r="F190" s="963"/>
      <c r="G190" s="920" cm="1" t="str">
        <f t="array" ref="G190:G190">G189</f>
        <v>1</v>
      </c>
      <c r="H190" s="1498"/>
      <c r="I190" s="1498"/>
      <c r="J190" s="1498"/>
      <c r="K190" s="1498"/>
      <c r="L190" s="1498"/>
      <c r="M190" s="1498"/>
      <c r="N190" s="1498"/>
      <c r="O190" s="1498"/>
      <c r="P190" s="1498"/>
      <c r="Q190" s="1498"/>
      <c r="R190" s="1498"/>
      <c r="S190" s="1257" t="s">
        <v>111</v>
      </c>
      <c r="T190" s="1258" t="s">
        <v>112</v>
      </c>
      <c r="U190" s="1498"/>
      <c r="V190" s="1498"/>
      <c r="W190" s="816" cm="1" t="str">
        <f t="array" ref="W190:W190">W189</f>
        <v>true</v>
      </c>
      <c r="X190" s="1498"/>
      <c r="Y190" s="1498"/>
      <c r="Z190" s="1498"/>
      <c r="AA190" s="817"/>
      <c r="AB190" s="1610"/>
      <c r="AC190" s="1611"/>
      <c r="AD190" s="446" t="s">
        <v>319</v>
      </c>
      <c r="AE190" s="1618" t="s">
        <v>340</v>
      </c>
      <c r="AF190" s="1416"/>
      <c r="AG190" s="1512"/>
      <c r="AH190" s="1512"/>
      <c r="AI190" s="1512"/>
      <c r="AJ190" s="1512"/>
      <c r="AK190" s="1512"/>
      <c r="AL190" s="1512"/>
      <c r="AM190" s="1512"/>
      <c r="AN190" s="1512"/>
      <c r="AO190" s="1266" cm="1" t="str">
        <f t="array" ref="AO190:AO190">AO189</f>
        <v>ТЭ.73.28136693.0002</v>
      </c>
      <c r="AP190" s="1259"/>
      <c r="AQ190" s="1259"/>
      <c r="AR190" s="1259"/>
      <c r="AS190" s="1259"/>
      <c r="AT190" s="1259"/>
      <c r="AU190" s="1259"/>
      <c r="AV190" s="1259"/>
      <c r="AW190" s="1259"/>
      <c r="AX190" s="1259"/>
      <c r="AY190" s="1259"/>
      <c r="AZ190" s="1259"/>
      <c r="BA190" s="1259"/>
      <c r="BB190" s="1259" t="s">
        <v>320</v>
      </c>
      <c r="BC190" s="1259"/>
      <c r="BD190" s="1259"/>
      <c r="BE190" s="1259"/>
    </row>
    <row s="1619" customFormat="1" customHeight="1" ht="88.5">
      <c r="A191" s="1498"/>
      <c r="B191" s="925"/>
      <c r="C191" s="1498"/>
      <c r="D191" s="1498"/>
      <c r="E191" s="794">
        <v>91.5</v>
      </c>
      <c r="F191" s="963"/>
      <c r="G191" s="920" cm="1" t="str">
        <f t="array" ref="G191:G191">G190</f>
        <v>1</v>
      </c>
      <c r="H191" s="1498"/>
      <c r="I191" s="1498"/>
      <c r="J191" s="1498"/>
      <c r="K191" s="1498"/>
      <c r="L191" s="1498"/>
      <c r="M191" s="1498"/>
      <c r="N191" s="1498"/>
      <c r="O191" s="1498"/>
      <c r="P191" s="1498"/>
      <c r="Q191" s="1498"/>
      <c r="R191" s="1498"/>
      <c r="S191" s="1257" t="s">
        <v>111</v>
      </c>
      <c r="T191" s="1258" t="s">
        <v>112</v>
      </c>
      <c r="U191" s="1498"/>
      <c r="V191" s="1498"/>
      <c r="W191" s="816" cm="1" t="str">
        <f t="array" ref="W191:W191">W190</f>
        <v>true</v>
      </c>
      <c r="X191" s="1498"/>
      <c r="Y191" s="1498"/>
      <c r="Z191" s="1498"/>
      <c r="AA191" s="817"/>
      <c r="AB191" s="1610"/>
      <c r="AC191" s="1611"/>
      <c r="AD191" s="446" t="s">
        <v>321</v>
      </c>
      <c r="AE191" s="1115" t="s">
        <v>341</v>
      </c>
      <c r="AF191" s="1416"/>
      <c r="AG191" s="1512"/>
      <c r="AH191" s="1512"/>
      <c r="AI191" s="1512"/>
      <c r="AJ191" s="1512"/>
      <c r="AK191" s="1512"/>
      <c r="AL191" s="1512"/>
      <c r="AM191" s="1512"/>
      <c r="AN191" s="1512"/>
      <c r="AO191" s="1266" cm="1" t="str">
        <f t="array" ref="AO191:AO191">AO190</f>
        <v>ТЭ.73.28136693.0002</v>
      </c>
      <c r="AP191" s="1259"/>
      <c r="AQ191" s="1259"/>
      <c r="AR191" s="1259"/>
      <c r="AS191" s="1259"/>
      <c r="AT191" s="1259"/>
      <c r="AU191" s="1259"/>
      <c r="AV191" s="1259"/>
      <c r="AW191" s="1259"/>
      <c r="AX191" s="1259"/>
      <c r="AY191" s="1259"/>
      <c r="AZ191" s="1259"/>
      <c r="BA191" s="1259"/>
      <c r="BB191" s="1259"/>
      <c r="BC191" s="1259" t="s">
        <v>322</v>
      </c>
      <c r="BD191" s="1259"/>
      <c r="BE191" s="1259"/>
    </row>
    <row s="1620" customFormat="1" customHeight="1" ht="26.25" hidden="1">
      <c r="A192" s="1498"/>
      <c r="B192" s="925"/>
      <c r="C192" s="1498"/>
      <c r="D192" s="1498"/>
      <c r="E192" s="794">
        <v>0</v>
      </c>
      <c r="F192" s="963"/>
      <c r="G192" s="920" cm="1" t="str">
        <f t="array" ref="G192:G192">G191</f>
        <v>1</v>
      </c>
      <c r="H192" s="1498"/>
      <c r="I192" s="1498"/>
      <c r="J192" s="1498"/>
      <c r="K192" s="1498"/>
      <c r="L192" s="1498"/>
      <c r="M192" s="1498"/>
      <c r="N192" s="1498"/>
      <c r="O192" s="1498"/>
      <c r="P192" s="1498"/>
      <c r="Q192" s="1498"/>
      <c r="R192" s="1498"/>
      <c r="S192" s="1257" t="s">
        <v>111</v>
      </c>
      <c r="T192" s="1258" t="s">
        <v>112</v>
      </c>
      <c r="U192" s="1498"/>
      <c r="V192" s="1498"/>
      <c r="W192" s="816" t="b">
        <v>0</v>
      </c>
      <c r="X192" s="1498"/>
      <c r="Y192" s="1498"/>
      <c r="Z192" s="1498"/>
      <c r="AA192" s="817"/>
      <c r="AB192" s="48"/>
      <c r="AC192" s="49"/>
      <c r="AD192" s="181" t="s">
        <v>323</v>
      </c>
      <c r="AE192" s="472"/>
      <c r="AF192" s="1416"/>
      <c r="AG192" s="1512"/>
      <c r="AH192" s="1512"/>
      <c r="AI192" s="1512"/>
      <c r="AJ192" s="1512"/>
      <c r="AK192" s="1512"/>
      <c r="AL192" s="1512"/>
      <c r="AM192" s="1512"/>
      <c r="AN192" s="1512"/>
      <c r="AO192" s="1266" cm="1" t="str">
        <f t="array" ref="AO192:AO192">AO191</f>
        <v>ТЭ.73.28136693.0002</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98"/>
      <c r="B193" s="925"/>
      <c r="C193" s="1498"/>
      <c r="D193" s="1498"/>
      <c r="E193" s="794">
        <v>26.3</v>
      </c>
      <c r="F193" s="963"/>
      <c r="G193" s="920" cm="1" t="str">
        <f t="array" ref="G193:G193">G192</f>
        <v>1</v>
      </c>
      <c r="H193" s="1498"/>
      <c r="I193" s="1498"/>
      <c r="J193" s="1498"/>
      <c r="K193" s="1498"/>
      <c r="L193" s="1498"/>
      <c r="M193" s="1498"/>
      <c r="N193" s="1498"/>
      <c r="O193" s="1498"/>
      <c r="P193" s="1498"/>
      <c r="Q193" s="1498"/>
      <c r="R193" s="1498"/>
      <c r="S193" s="1257" t="s">
        <v>215</v>
      </c>
      <c r="T193" s="1258" t="s">
        <v>216</v>
      </c>
      <c r="U193" s="1498"/>
      <c r="V193" s="1498"/>
      <c r="W193" s="816" cm="1" t="str">
        <f t="array" ref="W193:W193">W191</f>
        <v>true</v>
      </c>
      <c r="X193" s="1498"/>
      <c r="Y193" s="1498"/>
      <c r="Z193" s="1498"/>
      <c r="AA193" s="817"/>
      <c r="AB193" s="1610"/>
      <c r="AC193" s="1611"/>
      <c r="AD193" s="181" t="s">
        <v>324</v>
      </c>
      <c r="AE193" s="1622" t="s">
        <v>342</v>
      </c>
      <c r="AF193" s="1416"/>
      <c r="AG193" s="1512"/>
      <c r="AH193" s="1512"/>
      <c r="AI193" s="1512"/>
      <c r="AJ193" s="1512"/>
      <c r="AK193" s="1512"/>
      <c r="AL193" s="1512"/>
      <c r="AM193" s="1512"/>
      <c r="AN193" s="1512"/>
      <c r="AO193" s="1266" cm="1" t="str">
        <f t="array" ref="AO193:AO193">AO192</f>
        <v>ТЭ.73.28136693.0002</v>
      </c>
      <c r="AP193" s="1259"/>
      <c r="AQ193" s="1259"/>
      <c r="AR193" s="1259"/>
      <c r="AS193" s="1259"/>
      <c r="AT193" s="1259"/>
      <c r="AU193" s="1259"/>
      <c r="AV193" s="1259"/>
      <c r="AW193" s="1259"/>
      <c r="AX193" s="1259"/>
      <c r="AY193" s="1259"/>
      <c r="AZ193" s="1259"/>
      <c r="BA193" s="1259"/>
      <c r="BB193" s="1259"/>
      <c r="BC193" s="1259"/>
      <c r="BD193" s="1259"/>
      <c r="BE193" s="1259"/>
    </row>
    <row s="1623" customFormat="1" customHeight="1" ht="19.5">
      <c r="A194" s="1498"/>
      <c r="B194" s="925"/>
      <c r="C194" s="1498"/>
      <c r="D194" s="1498"/>
      <c r="E194" s="794">
        <v>20.4</v>
      </c>
      <c r="F194" s="963"/>
      <c r="G194" s="920" cm="1" t="str">
        <f t="array" ref="G194:G194">G193</f>
        <v>1</v>
      </c>
      <c r="H194" s="1498"/>
      <c r="I194" s="1498"/>
      <c r="J194" s="1498"/>
      <c r="K194" s="1498"/>
      <c r="L194" s="1498"/>
      <c r="M194" s="1498"/>
      <c r="N194" s="1498"/>
      <c r="O194" s="1498"/>
      <c r="P194" s="1498"/>
      <c r="Q194" s="1498"/>
      <c r="R194" s="1498"/>
      <c r="S194" s="1257" t="s">
        <v>111</v>
      </c>
      <c r="T194" s="1258" t="s">
        <v>112</v>
      </c>
      <c r="U194" s="1498"/>
      <c r="V194" s="1498"/>
      <c r="W194" s="816" cm="1" t="str">
        <f t="array" ref="W194:W194">W193</f>
        <v>true</v>
      </c>
      <c r="X194" s="1498"/>
      <c r="Y194" s="1498"/>
      <c r="Z194" s="1498"/>
      <c r="AA194" s="817"/>
      <c r="AB194" s="1610"/>
      <c r="AC194" s="1611"/>
      <c r="AD194" s="181" t="s">
        <v>325</v>
      </c>
      <c r="AE194" s="1115" t="s">
        <v>343</v>
      </c>
      <c r="AF194" s="1416"/>
      <c r="AG194" s="1512"/>
      <c r="AH194" s="1512"/>
      <c r="AI194" s="1512"/>
      <c r="AJ194" s="1512"/>
      <c r="AK194" s="1512"/>
      <c r="AL194" s="1512"/>
      <c r="AM194" s="1512"/>
      <c r="AN194" s="1512"/>
      <c r="AO194" s="1266" cm="1" t="str">
        <f t="array" ref="AO194:AO194">AO193</f>
        <v>ТЭ.73.28136693.0002</v>
      </c>
      <c r="AP194" s="1259"/>
      <c r="AQ194" s="1259"/>
      <c r="AR194" s="1259" t="s">
        <v>326</v>
      </c>
      <c r="AS194" s="1259"/>
      <c r="AT194" s="1259"/>
      <c r="AU194" s="1259"/>
      <c r="AV194" s="1259"/>
      <c r="AW194" s="1259"/>
      <c r="AX194" s="1259"/>
      <c r="AY194" s="1259"/>
      <c r="AZ194" s="1259"/>
      <c r="BA194" s="1259"/>
      <c r="BB194" s="1259"/>
      <c r="BC194" s="1259"/>
      <c r="BD194" s="1259"/>
      <c r="BE194" s="1259"/>
    </row>
    <row s="1624" customFormat="1" customHeight="1" ht="19.5">
      <c r="A195" s="1498"/>
      <c r="B195" s="955">
        <f>org_declaration="Заявление организации"</f>
        <v>1</v>
      </c>
      <c r="C195" s="1498"/>
      <c r="D195" s="1498"/>
      <c r="E195" s="794">
        <v>20.4</v>
      </c>
      <c r="F195" s="963"/>
      <c r="G195" s="920" cm="1" t="str">
        <f t="array" ref="G195:G195">G194</f>
        <v>1</v>
      </c>
      <c r="H195" s="1498"/>
      <c r="I195" s="1498"/>
      <c r="J195" s="1498"/>
      <c r="K195" s="1498"/>
      <c r="L195" s="1498"/>
      <c r="M195" s="1498"/>
      <c r="N195" s="1498"/>
      <c r="O195" s="1498"/>
      <c r="P195" s="1498"/>
      <c r="Q195" s="1498"/>
      <c r="R195" s="1498"/>
      <c r="S195" s="1257" t="s">
        <v>111</v>
      </c>
      <c r="T195" s="1258" t="s">
        <v>112</v>
      </c>
      <c r="U195" s="1498"/>
      <c r="V195" s="1498"/>
      <c r="W195" s="816" cm="1" t="str">
        <f t="array" ref="W195:W195">W194</f>
        <v>true</v>
      </c>
      <c r="X195" s="1498"/>
      <c r="Y195" s="1498"/>
      <c r="Z195" s="1498"/>
      <c r="AA195" s="817"/>
      <c r="AB195" s="1610"/>
      <c r="AC195" s="1611"/>
      <c r="AD195" s="446" t="s">
        <v>327</v>
      </c>
      <c r="AE195" s="1625">
        <v>843</v>
      </c>
      <c r="AF195" s="1416"/>
      <c r="AG195" s="1512"/>
      <c r="AH195" s="1512"/>
      <c r="AI195" s="1512"/>
      <c r="AJ195" s="1512"/>
      <c r="AK195" s="1512"/>
      <c r="AL195" s="1512"/>
      <c r="AM195" s="1512"/>
      <c r="AN195" s="1512"/>
      <c r="AO195" s="1266" cm="1" t="str">
        <f t="array" ref="AO195:AO195">AO194</f>
        <v>ТЭ.73.28136693.0002</v>
      </c>
      <c r="AP195" s="1259"/>
      <c r="AQ195" s="1259"/>
      <c r="AR195" s="1259" t="s">
        <v>328</v>
      </c>
      <c r="AS195" s="1259"/>
      <c r="AT195" s="1259"/>
      <c r="AU195" s="1259"/>
      <c r="AV195" s="1259"/>
      <c r="AW195" s="1259"/>
      <c r="AX195" s="1259"/>
      <c r="AY195" s="1259"/>
      <c r="AZ195" s="1259"/>
      <c r="BA195" s="1259"/>
      <c r="BB195" s="1259"/>
      <c r="BC195" s="1259"/>
      <c r="BD195" s="1259"/>
      <c r="BE195" s="1259"/>
    </row>
    <row s="1626" customFormat="1" customHeight="1" ht="19.5">
      <c r="A196" s="1498"/>
      <c r="B196" s="955">
        <f>org_declaration="Заявление организации"</f>
        <v>1</v>
      </c>
      <c r="C196" s="1498"/>
      <c r="D196" s="1498"/>
      <c r="E196" s="794">
        <v>20.4</v>
      </c>
      <c r="F196" s="963"/>
      <c r="G196" s="920" cm="1" t="str">
        <f t="array" ref="G196:G196">G195</f>
        <v>1</v>
      </c>
      <c r="H196" s="1498"/>
      <c r="I196" s="1498"/>
      <c r="J196" s="1498"/>
      <c r="K196" s="1498"/>
      <c r="L196" s="1498"/>
      <c r="M196" s="1498"/>
      <c r="N196" s="1498"/>
      <c r="O196" s="1498"/>
      <c r="P196" s="1498"/>
      <c r="Q196" s="1498"/>
      <c r="R196" s="1498"/>
      <c r="S196" s="1257" t="s">
        <v>111</v>
      </c>
      <c r="T196" s="1258" t="s">
        <v>112</v>
      </c>
      <c r="U196" s="1498"/>
      <c r="V196" s="1498"/>
      <c r="W196" s="816" cm="1" t="str">
        <f t="array" ref="W196:W196">W195</f>
        <v>true</v>
      </c>
      <c r="X196" s="1498"/>
      <c r="Y196" s="1498"/>
      <c r="Z196" s="1498"/>
      <c r="AA196" s="817"/>
      <c r="AB196" s="1610"/>
      <c r="AC196" s="1611"/>
      <c r="AD196" s="446" t="s">
        <v>329</v>
      </c>
      <c r="AE196" s="1627">
        <v>45770</v>
      </c>
      <c r="AF196" s="1416"/>
      <c r="AG196" s="1512"/>
      <c r="AH196" s="1512"/>
      <c r="AI196" s="1512"/>
      <c r="AJ196" s="1512"/>
      <c r="AK196" s="1512"/>
      <c r="AL196" s="1512"/>
      <c r="AM196" s="1512"/>
      <c r="AN196" s="1512"/>
      <c r="AO196" s="1266" cm="1" t="str">
        <f t="array" ref="AO196:AO196">AO195</f>
        <v>ТЭ.73.28136693.0002</v>
      </c>
      <c r="AP196" s="1259"/>
      <c r="AQ196" s="1259"/>
      <c r="AR196" s="1259" t="s">
        <v>330</v>
      </c>
      <c r="AS196" s="1259"/>
      <c r="AT196" s="1259"/>
      <c r="AU196" s="1259"/>
      <c r="AV196" s="1259"/>
      <c r="AW196" s="1259"/>
      <c r="AX196" s="1259"/>
      <c r="AY196" s="1259"/>
      <c r="AZ196" s="1259"/>
      <c r="BA196" s="1259"/>
      <c r="BB196" s="1259"/>
      <c r="BC196" s="1259"/>
      <c r="BD196" s="1259"/>
      <c r="BE196" s="1259"/>
    </row>
    <row s="1628" customFormat="1" customHeight="1" ht="19.5">
      <c r="A197" s="1498"/>
      <c r="B197" s="955">
        <f>org_declaration="Заявление организации"</f>
        <v>1</v>
      </c>
      <c r="C197" s="1498"/>
      <c r="D197" s="1498"/>
      <c r="E197" s="794">
        <v>20.4</v>
      </c>
      <c r="F197" s="963"/>
      <c r="G197" s="920" cm="1" t="str">
        <f t="array" ref="G197:G197">G196</f>
        <v>1</v>
      </c>
      <c r="H197" s="1498"/>
      <c r="I197" s="1498"/>
      <c r="J197" s="1498"/>
      <c r="K197" s="1498"/>
      <c r="L197" s="1498"/>
      <c r="M197" s="1498"/>
      <c r="N197" s="1498"/>
      <c r="O197" s="1498"/>
      <c r="P197" s="1498"/>
      <c r="Q197" s="1498"/>
      <c r="R197" s="1498"/>
      <c r="S197" s="1257" t="s">
        <v>111</v>
      </c>
      <c r="T197" s="1258" t="s">
        <v>112</v>
      </c>
      <c r="U197" s="1498"/>
      <c r="V197" s="1498"/>
      <c r="W197" s="816" cm="1" t="str">
        <f t="array" ref="W197:W197">W196</f>
        <v>true</v>
      </c>
      <c r="X197" s="1498"/>
      <c r="Y197" s="1498"/>
      <c r="Z197" s="1498"/>
      <c r="AA197" s="817"/>
      <c r="AB197" s="1610"/>
      <c r="AC197" s="1611"/>
      <c r="AD197" s="446" t="s">
        <v>331</v>
      </c>
      <c r="AE197" s="1625"/>
      <c r="AF197" s="1416"/>
      <c r="AG197" s="1512"/>
      <c r="AH197" s="1512"/>
      <c r="AI197" s="1512"/>
      <c r="AJ197" s="1512"/>
      <c r="AK197" s="1512"/>
      <c r="AL197" s="1512"/>
      <c r="AM197" s="1512"/>
      <c r="AN197" s="1512"/>
      <c r="AO197" s="1266" cm="1" t="str">
        <f t="array" ref="AO197:AO197">AO196</f>
        <v>ТЭ.73.28136693.0002</v>
      </c>
      <c r="AP197" s="1259"/>
      <c r="AQ197" s="1259"/>
      <c r="AR197" s="1259" t="s">
        <v>332</v>
      </c>
      <c r="AS197" s="1259"/>
      <c r="AT197" s="1259"/>
      <c r="AU197" s="1259"/>
      <c r="AV197" s="1259"/>
      <c r="AW197" s="1259"/>
      <c r="AX197" s="1259"/>
      <c r="AY197" s="1259"/>
      <c r="AZ197" s="1259"/>
      <c r="BA197" s="1259"/>
      <c r="BB197" s="1259"/>
      <c r="BC197" s="1259"/>
      <c r="BD197" s="1259"/>
      <c r="BE197" s="1259"/>
    </row>
    <row s="1629" customFormat="1" customHeight="1" ht="19.5">
      <c r="A198" s="1498"/>
      <c r="B198" s="955">
        <f>org_declaration="Заявление организации"</f>
        <v>1</v>
      </c>
      <c r="C198" s="1498"/>
      <c r="D198" s="1498"/>
      <c r="E198" s="794">
        <v>20.4</v>
      </c>
      <c r="F198" s="963"/>
      <c r="G198" s="920" cm="1" t="str">
        <f t="array" ref="G198:G198">G197</f>
        <v>1</v>
      </c>
      <c r="H198" s="1498"/>
      <c r="I198" s="1498"/>
      <c r="J198" s="1498"/>
      <c r="K198" s="1498"/>
      <c r="L198" s="1498"/>
      <c r="M198" s="1498"/>
      <c r="N198" s="1498"/>
      <c r="O198" s="1498"/>
      <c r="P198" s="1498"/>
      <c r="Q198" s="1498"/>
      <c r="R198" s="1498"/>
      <c r="S198" s="1257" t="s">
        <v>111</v>
      </c>
      <c r="T198" s="1258" t="s">
        <v>112</v>
      </c>
      <c r="U198" s="1498"/>
      <c r="V198" s="1498"/>
      <c r="W198" s="816" cm="1" t="str">
        <f t="array" ref="W198:W198">W197</f>
        <v>true</v>
      </c>
      <c r="X198" s="1498"/>
      <c r="Y198" s="1498"/>
      <c r="Z198" s="1498"/>
      <c r="AA198" s="817"/>
      <c r="AB198" s="1610"/>
      <c r="AC198" s="1611"/>
      <c r="AD198" s="446" t="s">
        <v>333</v>
      </c>
      <c r="AE198" s="1606" t="str">
        <f>IF(AE$24="","",DATE(AE$24,1,1))</f>
        <v>46023</v>
      </c>
      <c r="AF198" s="1416"/>
      <c r="AG198" s="1512"/>
      <c r="AH198" s="1512"/>
      <c r="AI198" s="1512"/>
      <c r="AJ198" s="1512"/>
      <c r="AK198" s="1512"/>
      <c r="AL198" s="1512"/>
      <c r="AM198" s="1512"/>
      <c r="AN198" s="1512"/>
      <c r="AO198" s="1266" cm="1" t="str">
        <f t="array" ref="AO198:AO198">AO197</f>
        <v>ТЭ.73.28136693.0002</v>
      </c>
      <c r="AP198" s="1259"/>
      <c r="AQ198" s="1259"/>
      <c r="AR198" s="1259"/>
      <c r="AS198" s="1259"/>
      <c r="AT198" s="1259"/>
      <c r="AU198" s="1259"/>
      <c r="AV198" s="1259"/>
      <c r="AW198" s="1259"/>
      <c r="AX198" s="1259"/>
      <c r="AY198" s="1259"/>
      <c r="AZ198" s="1259" t="s">
        <v>334</v>
      </c>
      <c r="BA198" s="1259"/>
      <c r="BB198" s="1259"/>
      <c r="BC198" s="1259"/>
      <c r="BD198" s="1259"/>
      <c r="BE198" s="1259"/>
    </row>
    <row s="1630" customFormat="1" customHeight="1" ht="19.5">
      <c r="A199" s="1498"/>
      <c r="B199" s="955">
        <f>org_declaration="Заявление организации"</f>
        <v>1</v>
      </c>
      <c r="C199" s="1498"/>
      <c r="D199" s="1498"/>
      <c r="E199" s="794">
        <v>20.4</v>
      </c>
      <c r="F199" s="963"/>
      <c r="G199" s="920" cm="1" t="str">
        <f t="array" ref="G199:G199">G197</f>
        <v>1</v>
      </c>
      <c r="H199" s="1498"/>
      <c r="I199" s="1498"/>
      <c r="J199" s="1498"/>
      <c r="K199" s="1498"/>
      <c r="L199" s="1498"/>
      <c r="M199" s="1498"/>
      <c r="N199" s="1498"/>
      <c r="O199" s="1498"/>
      <c r="P199" s="1498"/>
      <c r="Q199" s="1498"/>
      <c r="R199" s="1498"/>
      <c r="S199" s="1257" t="s">
        <v>111</v>
      </c>
      <c r="T199" s="1258" t="s">
        <v>112</v>
      </c>
      <c r="U199" s="1498"/>
      <c r="V199" s="1498"/>
      <c r="W199" s="816" cm="1" t="str">
        <f t="array" ref="W199:W199">W197</f>
        <v>true</v>
      </c>
      <c r="X199" s="1498"/>
      <c r="Y199" s="1498"/>
      <c r="Z199" s="1498"/>
      <c r="AA199" s="817"/>
      <c r="AB199" s="1610"/>
      <c r="AC199" s="1611"/>
      <c r="AD199" s="446" t="s">
        <v>335</v>
      </c>
      <c r="AE199" s="1631" cm="1" t="str">
        <f t="array" ref="AE199:AE199">IF(method_reg="","",method_reg)</f>
        <v>Метод индексации</v>
      </c>
      <c r="AF199" s="1416"/>
      <c r="AG199" s="1512"/>
      <c r="AH199" s="1512"/>
      <c r="AI199" s="1512"/>
      <c r="AJ199" s="1512"/>
      <c r="AK199" s="1512"/>
      <c r="AL199" s="1512"/>
      <c r="AM199" s="1512"/>
      <c r="AN199" s="1512"/>
      <c r="AO199" s="1266" cm="1" t="str">
        <f t="array" ref="AO199:AO199">AO198</f>
        <v>ТЭ.73.28136693.0002</v>
      </c>
      <c r="AP199" s="1259"/>
      <c r="AQ199" s="1259"/>
      <c r="AR199" s="1259" t="s">
        <v>336</v>
      </c>
      <c r="AS199" s="1259"/>
      <c r="AT199" s="1259"/>
      <c r="AU199" s="1259"/>
      <c r="AV199" s="1259"/>
      <c r="AW199" s="1259"/>
      <c r="AX199" s="1259"/>
      <c r="AY199" s="1259"/>
      <c r="AZ199" s="1259"/>
      <c r="BA199" s="1259"/>
      <c r="BB199" s="1259"/>
      <c r="BC199" s="1259"/>
      <c r="BD199" s="1259"/>
      <c r="BE199" s="1259"/>
    </row>
    <row s="1632" customFormat="1" customHeight="1" ht="21.75">
      <c r="A200" s="1498"/>
      <c r="B200" s="955">
        <f>AND(org_declaration="Заявление организации",AE199&lt;&gt;"Метод экономически обоснованных расходов")</f>
        <v>1</v>
      </c>
      <c r="C200" s="1498"/>
      <c r="D200" s="1498"/>
      <c r="E200" s="794">
        <v>22.8</v>
      </c>
      <c r="F200" s="963"/>
      <c r="G200" s="920" cm="1" t="str">
        <f t="array" ref="G200:G200">G199</f>
        <v>1</v>
      </c>
      <c r="H200" s="1498"/>
      <c r="I200" s="1498"/>
      <c r="J200" s="1498"/>
      <c r="K200" s="1498"/>
      <c r="L200" s="1498"/>
      <c r="M200" s="1498"/>
      <c r="N200" s="1498"/>
      <c r="O200" s="1498"/>
      <c r="P200" s="1498"/>
      <c r="Q200" s="1498"/>
      <c r="R200" s="1498"/>
      <c r="S200" s="1257" t="s">
        <v>119</v>
      </c>
      <c r="T200" s="1258" t="s">
        <v>120</v>
      </c>
      <c r="U200" s="1498"/>
      <c r="V200" s="1498"/>
      <c r="W200" s="816" cm="1" t="str">
        <f t="array" ref="W200:W200">W199</f>
        <v>true</v>
      </c>
      <c r="X200" s="1498"/>
      <c r="Y200" s="1498"/>
      <c r="Z200" s="1498"/>
      <c r="AA200" s="817"/>
      <c r="AB200" s="1610"/>
      <c r="AC200" s="161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3" cm="1" t="str">
        <f t="array" ref="AE200:AE200">IF(first_year="","",first_year)</f>
        <v>2024</v>
      </c>
      <c r="AF200" s="1416"/>
      <c r="AG200" s="1512"/>
      <c r="AH200" s="1512"/>
      <c r="AI200" s="1512"/>
      <c r="AJ200" s="1512"/>
      <c r="AK200" s="1512"/>
      <c r="AL200" s="1512"/>
      <c r="AM200" s="1512"/>
      <c r="AN200" s="1512"/>
      <c r="AO200" s="1266" cm="1" t="str">
        <f t="array" ref="AO200:AO200">AO199</f>
        <v>ТЭ.73.28136693.0002</v>
      </c>
      <c r="AP200" s="1259"/>
      <c r="AQ200" s="1259"/>
      <c r="AR200" s="1259" t="s">
        <v>336</v>
      </c>
      <c r="AS200" s="1259" t="s">
        <v>124</v>
      </c>
      <c r="AT200" s="1259"/>
      <c r="AU200" s="1259"/>
      <c r="AV200" s="1259"/>
      <c r="AW200" s="1259"/>
      <c r="AX200" s="1259"/>
      <c r="AY200" s="1259"/>
      <c r="AZ200" s="1259"/>
      <c r="BA200" s="1259"/>
      <c r="BB200" s="1259"/>
      <c r="BC200" s="1259"/>
      <c r="BD200" s="1259"/>
      <c r="BE200" s="1259"/>
    </row>
    <row s="1634" customFormat="1" customHeight="1" ht="19.5">
      <c r="A201" s="1498"/>
      <c r="B201" s="955">
        <f>AND(org_declaration="Заявление организации",AE199&lt;&gt;"Метод экономически обоснованных расходов")</f>
        <v>1</v>
      </c>
      <c r="C201" s="1498"/>
      <c r="D201" s="1498"/>
      <c r="E201" s="794">
        <v>20.4</v>
      </c>
      <c r="F201" s="963"/>
      <c r="G201" s="920" cm="1" t="str">
        <f t="array" ref="G201:G201">G200</f>
        <v>1</v>
      </c>
      <c r="H201" s="1498"/>
      <c r="I201" s="1498"/>
      <c r="J201" s="1498"/>
      <c r="K201" s="1498"/>
      <c r="L201" s="1498"/>
      <c r="M201" s="1498"/>
      <c r="N201" s="1498"/>
      <c r="O201" s="1498"/>
      <c r="P201" s="1498"/>
      <c r="Q201" s="1498"/>
      <c r="R201" s="1498"/>
      <c r="S201" s="1257" t="s">
        <v>125</v>
      </c>
      <c r="T201" s="1258" t="s">
        <v>126</v>
      </c>
      <c r="U201" s="1498"/>
      <c r="V201" s="1498"/>
      <c r="W201" s="816" cm="1" t="str">
        <f t="array" ref="W201:W201">W200</f>
        <v>true</v>
      </c>
      <c r="X201" s="1498"/>
      <c r="Y201" s="1498"/>
      <c r="Z201" s="1498"/>
      <c r="AA201" s="817"/>
      <c r="AB201" s="1610"/>
      <c r="AC201" s="1611"/>
      <c r="AD201" s="446" t="s">
        <v>127</v>
      </c>
      <c r="AE201" s="1633" cm="1" t="str">
        <f t="array" ref="AE201:AE201">IF(PERIOD_LENGTH="","",PERIOD_LENGTH)</f>
        <v>5</v>
      </c>
      <c r="AF201" s="1416"/>
      <c r="AG201" s="1512"/>
      <c r="AH201" s="1512"/>
      <c r="AI201" s="1512"/>
      <c r="AJ201" s="1512"/>
      <c r="AK201" s="1512"/>
      <c r="AL201" s="1512"/>
      <c r="AM201" s="1512"/>
      <c r="AN201" s="1512"/>
      <c r="AO201" s="1266" cm="1" t="str">
        <f t="array" ref="AO201:AO201">AO200</f>
        <v>ТЭ.73.28136693.0002</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4">
        <v>20.4</v>
      </c>
      <c r="X202" s="371" t="s">
        <v>344</v>
      </c>
      <c r="AB202" s="1389"/>
      <c r="AC202" s="1389"/>
      <c r="AD202" s="1122" t="s">
        <v>345</v>
      </c>
      <c r="AE202" s="337"/>
      <c r="AF202" s="424"/>
      <c r="AI202" s="234"/>
    </row>
    <row customHeight="1" ht="19.89">
      <c r="E203" s="794">
        <v>20.4</v>
      </c>
      <c r="S203" s="1257" t="s">
        <v>111</v>
      </c>
      <c r="T203" s="1258" t="s">
        <v>112</v>
      </c>
      <c r="AB203" s="1423" t="s">
        <v>346</v>
      </c>
      <c r="AC203" s="1424"/>
      <c r="AD203" s="446" t="s">
        <v>347</v>
      </c>
      <c r="AE203" s="420" t="s">
        <v>348</v>
      </c>
      <c r="AF203" s="429"/>
      <c r="AG203" s="152"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4">
        <v>20.4</v>
      </c>
      <c r="S204" s="1257" t="s">
        <v>111</v>
      </c>
      <c r="T204" s="1258" t="s">
        <v>112</v>
      </c>
      <c r="AB204" s="1423"/>
      <c r="AC204" s="1424"/>
      <c r="AD204" s="446" t="s">
        <v>351</v>
      </c>
      <c r="AE204" s="420" t="s">
        <v>268</v>
      </c>
      <c r="AF204" s="429"/>
      <c r="AG204" s="152"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4">
        <v>20.4</v>
      </c>
      <c r="S205" s="1257" t="s">
        <v>111</v>
      </c>
      <c r="T205" s="1258" t="s">
        <v>112</v>
      </c>
      <c r="AB205" s="1423"/>
      <c r="AC205" s="1424"/>
      <c r="AD205" s="446" t="s">
        <v>354</v>
      </c>
      <c r="AE205" s="420" t="s">
        <v>272</v>
      </c>
      <c r="AF205" s="429"/>
      <c r="AG205" s="152"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4">
        <v>20.4</v>
      </c>
      <c r="S206" s="1257" t="s">
        <v>111</v>
      </c>
      <c r="T206" s="1258" t="s">
        <v>112</v>
      </c>
      <c r="AB206" s="1423"/>
      <c r="AC206" s="1424"/>
      <c r="AD206" s="446" t="s">
        <v>357</v>
      </c>
      <c r="AE206" s="420" t="s">
        <v>276</v>
      </c>
      <c r="AF206" s="429"/>
      <c r="AG206" s="152" t="s">
        <v>358</v>
      </c>
      <c r="AO206" s="1259"/>
      <c r="AP206" s="1259"/>
      <c r="AQ206" s="1259"/>
      <c r="AR206" s="1259"/>
      <c r="AS206" s="1259"/>
      <c r="AT206" s="1259"/>
      <c r="AU206" s="1259"/>
      <c r="AV206" s="1259"/>
      <c r="AW206" s="1259"/>
      <c r="AX206" s="1259"/>
      <c r="AY206" s="1259"/>
      <c r="AZ206" s="1259"/>
      <c r="BA206" s="1259"/>
      <c r="BB206" s="1259"/>
      <c r="BC206" s="1259"/>
      <c r="BD206" s="1259"/>
      <c r="BE206" s="1259" t="s">
        <v>359</v>
      </c>
    </row>
    <row customHeight="1" ht="19.89">
      <c r="E207" s="794">
        <v>20.4</v>
      </c>
      <c r="S207" s="1257" t="s">
        <v>111</v>
      </c>
      <c r="T207" s="1258" t="s">
        <v>112</v>
      </c>
      <c r="AB207" s="1423"/>
      <c r="AC207" s="1424"/>
      <c r="AD207" s="446" t="s">
        <v>360</v>
      </c>
      <c r="AE207" s="1576" t="s">
        <v>361</v>
      </c>
      <c r="AF207" s="429"/>
      <c r="AG207" s="152" t="s">
        <v>362</v>
      </c>
      <c r="AO207" s="1259"/>
      <c r="AP207" s="1259"/>
      <c r="AQ207" s="1259"/>
      <c r="AR207" s="1259"/>
      <c r="AS207" s="1259"/>
      <c r="AT207" s="1259"/>
      <c r="AU207" s="1259"/>
      <c r="AV207" s="1259"/>
      <c r="AW207" s="1259"/>
      <c r="AX207" s="1259"/>
      <c r="AY207" s="1259"/>
      <c r="AZ207" s="1259"/>
      <c r="BA207" s="1259"/>
      <c r="BB207" s="1259"/>
      <c r="BC207" s="1259"/>
      <c r="BD207" s="1259"/>
      <c r="BE207" s="1259" t="s">
        <v>363</v>
      </c>
    </row>
    <row customHeight="1" ht="19.89" hidden="1">
      <c r="A208" s="1498"/>
      <c r="B208" s="925"/>
      <c r="C208" s="1498"/>
      <c r="D208" s="1498"/>
      <c r="E208" s="794">
        <v>20.4</v>
      </c>
      <c r="F208" s="963"/>
      <c r="G208" s="1498"/>
      <c r="H208" s="1498"/>
      <c r="I208" s="1498"/>
      <c r="J208" s="1498"/>
      <c r="K208" s="1498"/>
      <c r="L208" s="1498"/>
      <c r="M208" s="1498"/>
      <c r="N208" s="1498"/>
      <c r="O208" s="1498"/>
      <c r="P208" s="1498"/>
      <c r="Q208" s="1498"/>
      <c r="R208" s="1498"/>
      <c r="S208" s="1257" t="s">
        <v>111</v>
      </c>
      <c r="T208" s="1258" t="s">
        <v>112</v>
      </c>
      <c r="U208" s="1498"/>
      <c r="V208" s="1498"/>
      <c r="W208" s="816">
        <f>ROW(X208)&gt;ROW(X$208)</f>
        <v>0</v>
      </c>
      <c r="X208" s="176" t="s">
        <v>311</v>
      </c>
      <c r="Y208" s="1498"/>
      <c r="Z208" s="1498"/>
      <c r="AA208" s="817"/>
      <c r="AB208" s="1423"/>
      <c r="AC208" s="1424"/>
      <c r="AD208" s="1637"/>
      <c r="AE208" s="1589"/>
      <c r="AF208" s="747" t="s">
        <v>219</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364</v>
      </c>
    </row>
    <row customHeight="1" ht="14.625">
      <c r="E209" s="794">
        <v>15</v>
      </c>
      <c r="X209" s="371" t="s">
        <v>236</v>
      </c>
      <c r="AB209" s="1423"/>
      <c r="AC209" s="1424"/>
      <c r="AD209" s="447" t="s">
        <v>365</v>
      </c>
      <c r="AE209" s="414"/>
      <c r="AF209" s="429"/>
    </row>
    <row customHeight="1" ht="19.89">
      <c r="E210" s="794">
        <v>20.4</v>
      </c>
      <c r="S210" s="1263"/>
      <c r="T210" s="1264"/>
      <c r="AB210" s="1423"/>
      <c r="AC210" s="1424"/>
      <c r="AD210" s="446" t="s">
        <v>366</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423"/>
      <c r="AC211" s="1424"/>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423"/>
      <c r="AC212" s="1424"/>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425"/>
      <c r="AC213" s="1426"/>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186</v>
      </c>
      <c r="T214" s="1258" t="s">
        <v>187</v>
      </c>
      <c r="AB214" s="1417" t="s">
        <v>367</v>
      </c>
      <c r="AC214" s="1418"/>
      <c r="AD214" s="1419"/>
      <c r="AE214" s="439" t="s">
        <v>200</v>
      </c>
      <c r="AF214" s="434"/>
      <c r="AO214" s="1259"/>
      <c r="AP214" s="1259"/>
      <c r="AQ214" s="1259"/>
      <c r="AR214" s="1259" t="s">
        <v>368</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417" t="s">
        <v>369</v>
      </c>
      <c r="AC216" s="1418"/>
      <c r="AD216" s="1419"/>
      <c r="AE216" s="454" t="s">
        <v>200</v>
      </c>
      <c r="AO216" s="1259"/>
      <c r="AP216" s="1259"/>
      <c r="AQ216" s="1259"/>
      <c r="AR216" s="1259" t="s">
        <v>370</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xr:uid="{43A69538-8DC8-7818-6ED8-E06A65CC4ED8}"/>
    <hyperlink ref="AE144" r:id="rId2" xr:uid="{CDA12FC8-08D4-4978-8328-59A85E353D06}"/>
    <hyperlink ref="AE193" r:id="rId3" xr:uid="{C12E69E8-61A8-A8FB-92CF-D2EC0021F088}"/>
    <hyperlink ref="AE207" r:id="rId4" xr:uid="{2521BEA9-5312-3438-4443-F3B4523F77CE}"/>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8A75D-9749-53F8-AB1C-C29AEB9EBAF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4170</v>
      </c>
    </row>
    <row customHeight="1" ht="11.25">
      <c r="A2" s="0" t="s">
        <v>4171</v>
      </c>
      <c r="B2" s="0" t="s">
        <v>4172</v>
      </c>
    </row>
    <row customHeight="1" ht="11.25">
      <c r="A3" s="0" t="s">
        <v>4173</v>
      </c>
    </row>
    <row customHeight="1" ht="11.25">
      <c r="A4" s="0" t="s">
        <v>3127</v>
      </c>
    </row>
    <row customHeight="1" ht="11.25">
      <c r="A5" s="0" t="s">
        <v>3139</v>
      </c>
    </row>
    <row customHeight="1" ht="11.25">
      <c r="A6" s="0" t="s">
        <v>156</v>
      </c>
    </row>
    <row customHeight="1" ht="11.25">
      <c r="A7" s="0" t="s">
        <v>4174</v>
      </c>
    </row>
    <row customHeight="1" ht="11.25">
      <c r="A8" s="0" t="s">
        <v>4175</v>
      </c>
    </row>
    <row customHeight="1" ht="11.25">
      <c r="A9" s="0" t="s">
        <v>3748</v>
      </c>
    </row>
    <row customHeight="1" ht="11.25">
      <c r="A10" s="0" t="s">
        <v>4176</v>
      </c>
    </row>
    <row customHeight="1" ht="11.25">
      <c r="A11" s="0" t="s">
        <v>3737</v>
      </c>
    </row>
    <row customHeight="1" ht="11.25">
      <c r="A12" s="0" t="s">
        <v>4177</v>
      </c>
    </row>
    <row customHeight="1" ht="11.25">
      <c r="A13" s="0" t="s">
        <v>4178</v>
      </c>
    </row>
    <row customHeight="1" ht="11.25">
      <c r="A14" s="0" t="s">
        <v>4179</v>
      </c>
    </row>
    <row customHeight="1" ht="11.25">
      <c r="A15" s="0" t="s">
        <v>4180</v>
      </c>
    </row>
    <row customHeight="1" ht="11.25">
      <c r="A16" s="0" t="s">
        <v>4181</v>
      </c>
    </row>
    <row customHeight="1" ht="11.25">
      <c r="A17" s="0" t="s">
        <v>4182</v>
      </c>
    </row>
    <row customHeight="1" ht="11.25">
      <c r="A18" s="0" t="s">
        <v>4183</v>
      </c>
    </row>
    <row customHeight="1" ht="11.25">
      <c r="A19" s="0" t="s">
        <v>4184</v>
      </c>
    </row>
    <row customHeight="1" ht="11.25">
      <c r="A20" s="0" t="s">
        <v>4185</v>
      </c>
    </row>
    <row customHeight="1" ht="11.25">
      <c r="A21" s="0" t="s">
        <v>4186</v>
      </c>
    </row>
    <row customHeight="1" ht="11.25">
      <c r="A22" s="0" t="s">
        <v>4187</v>
      </c>
    </row>
    <row customHeight="1" ht="11.25">
      <c r="A23" s="0" t="s">
        <v>4188</v>
      </c>
    </row>
    <row customHeight="1" ht="11.25">
      <c r="A24" s="0" t="s">
        <v>4189</v>
      </c>
    </row>
    <row customHeight="1" ht="11.25">
      <c r="A25" s="0" t="s">
        <v>4190</v>
      </c>
    </row>
    <row customHeight="1" ht="11.25">
      <c r="A26" s="0" t="s">
        <v>4191</v>
      </c>
    </row>
    <row customHeight="1" ht="11.25">
      <c r="A27" s="0" t="s">
        <v>4192</v>
      </c>
    </row>
    <row customHeight="1" ht="11.25">
      <c r="A28" s="0" t="s">
        <v>4193</v>
      </c>
    </row>
    <row customHeight="1" ht="11.25">
      <c r="A29" s="0" t="s">
        <v>4194</v>
      </c>
    </row>
    <row customHeight="1" ht="11.25">
      <c r="A30" s="0" t="s">
        <v>4195</v>
      </c>
    </row>
    <row customHeight="1" ht="11.25">
      <c r="A31" s="0" t="s">
        <v>4196</v>
      </c>
    </row>
    <row customHeight="1" ht="11.25">
      <c r="A32" s="0" t="s">
        <v>4197</v>
      </c>
    </row>
    <row customHeight="1" ht="11.25">
      <c r="A33" s="0" t="s">
        <v>4198</v>
      </c>
    </row>
    <row customHeight="1" ht="11.25">
      <c r="A34" s="0" t="s">
        <v>4199</v>
      </c>
    </row>
    <row customHeight="1" ht="11.25">
      <c r="A35" s="0" t="s">
        <v>4200</v>
      </c>
    </row>
    <row customHeight="1" ht="11.25">
      <c r="A36" s="0" t="s">
        <v>4201</v>
      </c>
    </row>
    <row customHeight="1" ht="11.25">
      <c r="A37" s="0" t="s">
        <v>4202</v>
      </c>
    </row>
    <row customHeight="1" ht="11.25">
      <c r="A38" s="0" t="s">
        <v>4203</v>
      </c>
    </row>
    <row customHeight="1" ht="11.25">
      <c r="A39" s="0" t="s">
        <v>4204</v>
      </c>
    </row>
    <row customHeight="1" ht="11.25">
      <c r="A40" s="0" t="s">
        <v>4205</v>
      </c>
    </row>
    <row customHeight="1" ht="11.25">
      <c r="A41" s="0" t="s">
        <v>4206</v>
      </c>
    </row>
    <row customHeight="1" ht="11.25">
      <c r="A42" s="0" t="s">
        <v>4207</v>
      </c>
    </row>
    <row customHeight="1" ht="11.25">
      <c r="A43" s="0" t="s">
        <v>4208</v>
      </c>
    </row>
    <row customHeight="1" ht="11.25">
      <c r="A44" s="0" t="s">
        <v>4209</v>
      </c>
    </row>
    <row customHeight="1" ht="11.25">
      <c r="A45" s="0" t="s">
        <v>4210</v>
      </c>
    </row>
    <row customHeight="1" ht="11.25">
      <c r="A46" s="0" t="s">
        <v>4211</v>
      </c>
    </row>
    <row customHeight="1" ht="11.25">
      <c r="A47" s="0" t="s">
        <v>4212</v>
      </c>
    </row>
    <row customHeight="1" ht="11.25">
      <c r="A48" s="0" t="s">
        <v>4213</v>
      </c>
    </row>
    <row customHeight="1" ht="11.25">
      <c r="A49" s="0" t="s">
        <v>4214</v>
      </c>
    </row>
    <row customHeight="1" ht="11.25">
      <c r="A50" s="0" t="s">
        <v>4215</v>
      </c>
    </row>
    <row customHeight="1" ht="11.25">
      <c r="A51" s="0" t="s">
        <v>4216</v>
      </c>
    </row>
    <row customHeight="1" ht="11.25">
      <c r="A52" s="0" t="s">
        <v>4217</v>
      </c>
    </row>
    <row customHeight="1" ht="11.25">
      <c r="A53" s="0" t="s">
        <v>4218</v>
      </c>
    </row>
    <row customHeight="1" ht="11.25">
      <c r="A54" s="0" t="s">
        <v>4219</v>
      </c>
    </row>
    <row customHeight="1" ht="11.25">
      <c r="A55" s="0" t="s">
        <v>4220</v>
      </c>
    </row>
    <row customHeight="1" ht="11.25">
      <c r="A56" s="0" t="s">
        <v>4221</v>
      </c>
    </row>
    <row customHeight="1" ht="11.25">
      <c r="A57" s="0" t="s">
        <v>4222</v>
      </c>
    </row>
    <row customHeight="1" ht="11.25">
      <c r="A58" s="0" t="s">
        <v>4223</v>
      </c>
    </row>
    <row customHeight="1" ht="11.25">
      <c r="A59" s="0" t="s">
        <v>4224</v>
      </c>
    </row>
    <row customHeight="1" ht="11.25">
      <c r="A60" s="0" t="s">
        <v>4225</v>
      </c>
    </row>
    <row customHeight="1" ht="11.25">
      <c r="A61" s="0" t="s">
        <v>4226</v>
      </c>
    </row>
    <row customHeight="1" ht="11.25">
      <c r="A62" s="0" t="s">
        <v>4227</v>
      </c>
    </row>
    <row customHeight="1" ht="11.25">
      <c r="A63" s="0" t="s">
        <v>4228</v>
      </c>
    </row>
    <row customHeight="1" ht="11.25">
      <c r="A64" s="0" t="s">
        <v>4229</v>
      </c>
    </row>
    <row customHeight="1" ht="11.25">
      <c r="A65" s="0" t="s">
        <v>4230</v>
      </c>
    </row>
    <row customHeight="1" ht="11.25">
      <c r="A66" s="0" t="s">
        <v>3210</v>
      </c>
    </row>
    <row customHeight="1" ht="11.25">
      <c r="A67" s="0" t="s">
        <v>4231</v>
      </c>
    </row>
    <row customHeight="1" ht="11.25">
      <c r="A68" s="0" t="s">
        <v>4232</v>
      </c>
    </row>
    <row customHeight="1" ht="11.25">
      <c r="A69" s="0" t="s">
        <v>4233</v>
      </c>
    </row>
    <row customHeight="1" ht="11.25">
      <c r="A70" s="0" t="s">
        <v>4234</v>
      </c>
    </row>
    <row customHeight="1" ht="11.25">
      <c r="A71" s="0" t="s">
        <v>3256</v>
      </c>
    </row>
    <row customHeight="1" ht="11.25">
      <c r="A72" s="0" t="s">
        <v>3198</v>
      </c>
    </row>
    <row customHeight="1" ht="11.25">
      <c r="A73" s="0" t="s">
        <v>4235</v>
      </c>
    </row>
    <row customHeight="1" ht="11.25">
      <c r="A74" s="0" t="s">
        <v>3294</v>
      </c>
    </row>
    <row customHeight="1" ht="11.25">
      <c r="A75" s="0" t="s">
        <v>4236</v>
      </c>
    </row>
    <row customHeight="1" ht="11.25">
      <c r="A76" s="0" t="s">
        <v>4237</v>
      </c>
    </row>
    <row customHeight="1" ht="11.25">
      <c r="A77" s="0" t="s">
        <v>4238</v>
      </c>
    </row>
    <row customHeight="1" ht="11.25">
      <c r="A78" s="0" t="s">
        <v>4239</v>
      </c>
    </row>
    <row customHeight="1" ht="11.25">
      <c r="A79" s="0" t="s">
        <v>4240</v>
      </c>
    </row>
    <row customHeight="1" ht="11.25">
      <c r="A80" s="0" t="s">
        <v>4241</v>
      </c>
    </row>
    <row customHeight="1" ht="11.25">
      <c r="A81" s="0" t="s">
        <v>4242</v>
      </c>
    </row>
    <row customHeight="1" ht="11.25">
      <c r="A82" s="0" t="s">
        <v>4243</v>
      </c>
    </row>
    <row customHeight="1" ht="11.25">
      <c r="A83" s="0" t="s">
        <v>4244</v>
      </c>
    </row>
    <row customHeight="1" ht="11.25">
      <c r="A84" s="0" t="s">
        <v>3993</v>
      </c>
    </row>
    <row customHeight="1" ht="11.25">
      <c r="A85" s="0" t="s">
        <v>3777</v>
      </c>
    </row>
    <row customHeight="1" ht="11.25">
      <c r="A86" s="0" t="s">
        <v>4245</v>
      </c>
    </row>
    <row customHeight="1" ht="11.25">
      <c r="A87" s="0" t="s">
        <v>4246</v>
      </c>
    </row>
    <row customHeight="1" ht="11.25">
      <c r="A88" s="0" t="s">
        <v>3541</v>
      </c>
    </row>
    <row customHeight="1" ht="11.25">
      <c r="A89" s="0" t="s">
        <v>3925</v>
      </c>
    </row>
    <row customHeight="1" ht="11.25">
      <c r="A90" s="0" t="s">
        <v>3561</v>
      </c>
    </row>
    <row customHeight="1" ht="11.25">
      <c r="A91" s="0" t="s">
        <v>4247</v>
      </c>
    </row>
    <row customHeight="1" ht="11.25">
      <c r="A92" s="0" t="s">
        <v>3247</v>
      </c>
    </row>
    <row customHeight="1" ht="11.25">
      <c r="A93" s="0" t="s">
        <v>3934</v>
      </c>
    </row>
    <row customHeight="1" ht="11.25">
      <c r="A94" s="0" t="s">
        <v>3505</v>
      </c>
    </row>
    <row customHeight="1" ht="11.25">
      <c r="A95" s="0" t="s">
        <v>4248</v>
      </c>
    </row>
    <row customHeight="1" ht="11.25">
      <c r="A96" s="0" t="s">
        <v>4249</v>
      </c>
    </row>
    <row customHeight="1" ht="11.25">
      <c r="A97" s="0" t="s">
        <v>4250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134D8-6716-AFC8-5878-E33EADE9B4CE}"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4251</v>
      </c>
    </row>
    <row customHeight="1" ht="15">
      <c r="A2" s="0" t="s">
        <v>343</v>
      </c>
    </row>
    <row customHeight="1" ht="15">
      <c r="A3" s="0" t="s">
        <v>4252</v>
      </c>
    </row>
    <row customHeight="1" ht="15">
      <c r="A4" s="0" t="s">
        <v>4253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DF32B-91EE-E068-B2C8-91F6383BC4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98"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371</v>
      </c>
      <c r="AC1" s="816" t="s">
        <v>92</v>
      </c>
      <c r="AJ1" s="1195" t="s">
        <v>372</v>
      </c>
      <c r="AK1" s="400" t="s">
        <v>373</v>
      </c>
      <c r="AL1" s="400" t="s">
        <v>374</v>
      </c>
      <c r="AM1" s="400" t="s">
        <v>375</v>
      </c>
      <c r="AN1" s="400" t="s">
        <v>376</v>
      </c>
      <c r="AO1" s="1199" t="s">
        <v>377</v>
      </c>
      <c r="AP1" s="1199" t="s">
        <v>378</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379</v>
      </c>
      <c r="AD6" s="371" t="s">
        <v>380</v>
      </c>
      <c r="AE6" s="371" t="s">
        <v>381</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382</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383</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374</v>
      </c>
      <c r="AD10" s="1148" t="s">
        <v>375</v>
      </c>
      <c r="AE10" s="1148" t="s">
        <v>376</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Ульяновская область / 2026 / ООО "НИИАР-ГЕНЕРАЦИЯ" (ИНН:7329008990, КПП:732901001)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384</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385</v>
      </c>
      <c r="AC24" s="195" t="s">
        <v>386</v>
      </c>
      <c r="AD24" s="195" t="s">
        <v>387</v>
      </c>
      <c r="AE24" s="195" t="s">
        <v>388</v>
      </c>
      <c r="AF24" s="418" t="s">
        <v>389</v>
      </c>
      <c r="AG24" s="196" t="s">
        <v>331</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311</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235</v>
      </c>
      <c r="AA27" s="915" t="s">
        <v>219</v>
      </c>
      <c r="AB27" s="807">
        <v>0</v>
      </c>
      <c r="AC27" s="256"/>
      <c r="AD27" s="256"/>
      <c r="AE27" s="256"/>
      <c r="AF27" s="57"/>
      <c r="AG27" s="57"/>
      <c r="AJ27" s="1196" t="s">
        <v>390</v>
      </c>
      <c r="AK27" s="370" t="s">
        <v>391</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392</v>
      </c>
      <c r="AB28" s="252"/>
      <c r="AC28" s="334" t="s">
        <v>393</v>
      </c>
      <c r="AD28" s="253"/>
      <c r="AE28" s="253"/>
      <c r="AF28" s="253"/>
      <c r="AG28" s="254"/>
      <c r="AO28" s="340" t="s">
        <v>391</v>
      </c>
    </row>
    <row s="1639"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услуги по передаче тепловой энергии, теплоносителя (Не определено)</v>
      </c>
      <c r="X29" s="1444"/>
      <c r="Y29" s="168" t="s">
        <v>337</v>
      </c>
      <c r="Z29" s="1444"/>
      <c r="AA29" s="916"/>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5"/>
      <c r="AK29" s="370"/>
      <c r="AL29" s="370"/>
      <c r="AM29" s="370"/>
      <c r="AN29" s="370"/>
      <c r="AO29" s="880"/>
      <c r="AP29" s="880"/>
    </row>
    <row s="1640" customFormat="1" customHeight="1" ht="23.25" hidden="1">
      <c r="E30" s="341">
        <v>24</v>
      </c>
      <c r="F30" s="172" cm="1" t="str">
        <f t="array" ref="F30:F30">OFFSET(G30,-1,-1)</f>
        <v>1</v>
      </c>
      <c r="U30" s="921">
        <f>AND(OFFSET(V30,1,-1),AB30&gt;1)</f>
        <v>0</v>
      </c>
      <c r="X30" s="168" t="s">
        <v>235</v>
      </c>
      <c r="AA30" s="915" t="s">
        <v>219</v>
      </c>
      <c r="AB30" s="807">
        <v>0</v>
      </c>
      <c r="AC30" s="256"/>
      <c r="AD30" s="256"/>
      <c r="AE30" s="256"/>
      <c r="AF30" s="57"/>
      <c r="AG30" s="57"/>
      <c r="AJ30" s="1196" t="s">
        <v>390</v>
      </c>
      <c r="AK30" s="370" t="s">
        <v>391</v>
      </c>
      <c r="AL30" s="193" cm="1" t="str">
        <f t="array" ref="AL30:AL30">AC30</f>
        <v>0</v>
      </c>
      <c r="AM30" s="193" cm="1" t="str">
        <f t="array" ref="AM30:AM30">AD30</f>
        <v>0</v>
      </c>
      <c r="AN30" s="193" cm="1" t="str">
        <f t="array" ref="AN30:AN30">AE30</f>
        <v>0</v>
      </c>
      <c r="AO30" s="340"/>
      <c r="AP30" s="340" t="b">
        <v>1</v>
      </c>
    </row>
    <row s="1641" customFormat="1" customHeight="1" ht="23.25">
      <c r="A31" s="1642"/>
      <c r="B31" s="1642"/>
      <c r="C31" s="1642"/>
      <c r="D31" s="1642"/>
      <c r="E31" s="341">
        <v>24</v>
      </c>
      <c r="F31" s="172" cm="1" t="str">
        <f t="array" ref="F31:F31">OFFSET(G31,-1,-1)</f>
        <v>1</v>
      </c>
      <c r="G31" s="1642"/>
      <c r="H31" s="1642"/>
      <c r="I31" s="1642"/>
      <c r="J31" s="1642"/>
      <c r="K31" s="1642"/>
      <c r="L31" s="1642"/>
      <c r="M31" s="1642"/>
      <c r="N31" s="1642"/>
      <c r="O31" s="1642"/>
      <c r="P31" s="1642"/>
      <c r="Q31" s="1642"/>
      <c r="R31" s="1642"/>
      <c r="S31" s="1642"/>
      <c r="T31" s="1642"/>
      <c r="U31" s="921">
        <f>AND(OFFSET(V31,1,-1),AB31&gt;1)</f>
        <v>1</v>
      </c>
      <c r="V31" s="1642"/>
      <c r="W31" s="1642"/>
      <c r="X31" s="168"/>
      <c r="Y31" s="1642"/>
      <c r="Z31" s="1642"/>
      <c r="AA31" s="915" t="s">
        <v>219</v>
      </c>
      <c r="AB31" s="807" t="s">
        <v>337</v>
      </c>
      <c r="AC31" s="256" t="s">
        <v>394</v>
      </c>
      <c r="AD31" s="256" t="s">
        <v>394</v>
      </c>
      <c r="AE31" s="256" t="s">
        <v>395</v>
      </c>
      <c r="AF31" s="1643"/>
      <c r="AG31" s="1643"/>
      <c r="AH31" s="1642"/>
      <c r="AI31" s="1642"/>
      <c r="AJ31" s="1196" t="s">
        <v>390</v>
      </c>
      <c r="AK31" s="370" t="s">
        <v>391</v>
      </c>
      <c r="AL31" s="193" cm="1" t="str">
        <f t="array" ref="AL31:AL31">AC31</f>
        <v>город Димитровград</v>
      </c>
      <c r="AM31" s="193" cm="1" t="str">
        <f t="array" ref="AM31:AM31">AD31</f>
        <v>город Димитровград</v>
      </c>
      <c r="AN31" s="193" cm="1" t="str">
        <f t="array" ref="AN31:AN31">AE31</f>
        <v>73705000</v>
      </c>
      <c r="AO31" s="340"/>
      <c r="AP31" s="340" t="b">
        <v>1</v>
      </c>
    </row>
    <row s="1642"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392</v>
      </c>
      <c r="Y32" s="1444"/>
      <c r="Z32" s="1444"/>
      <c r="AA32" s="916"/>
      <c r="AB32" s="252"/>
      <c r="AC32" s="334" t="s">
        <v>393</v>
      </c>
      <c r="AD32" s="253"/>
      <c r="AE32" s="253"/>
      <c r="AF32" s="253"/>
      <c r="AG32" s="254"/>
      <c r="AH32" s="191"/>
      <c r="AI32" s="191"/>
      <c r="AJ32" s="1195"/>
      <c r="AK32" s="370"/>
      <c r="AL32" s="370"/>
      <c r="AM32" s="370"/>
      <c r="AN32" s="370"/>
      <c r="AO32" s="340" t="s">
        <v>391</v>
      </c>
      <c r="AP32" s="880"/>
    </row>
    <row customHeight="1" ht="11.115">
      <c r="E33" s="341">
        <v>11.4</v>
      </c>
      <c r="V33" s="172" t="s">
        <v>237</v>
      </c>
      <c r="W33" s="168" t="s">
        <v>396</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119D8-672D-55ED-6C06-5BA312F3349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8.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371</v>
      </c>
      <c r="AC1" s="816" t="s">
        <v>92</v>
      </c>
      <c r="AK1" s="1156" t="s">
        <v>372</v>
      </c>
      <c r="AL1" s="1202" t="s">
        <v>373</v>
      </c>
      <c r="AM1" s="1202" t="s">
        <v>374</v>
      </c>
      <c r="AN1" s="1202" t="s">
        <v>397</v>
      </c>
      <c r="AO1" s="1202" t="s">
        <v>398</v>
      </c>
      <c r="AP1" s="1202" t="s">
        <v>399</v>
      </c>
      <c r="AQ1" s="1202" t="s">
        <v>400</v>
      </c>
      <c r="AR1" s="340" t="s">
        <v>377</v>
      </c>
      <c r="AS1" s="340" t="s">
        <v>378</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343</v>
      </c>
      <c r="AF7" s="963" t="s">
        <v>401</v>
      </c>
      <c r="AG7" s="733" t="s">
        <v>402</v>
      </c>
      <c r="AH7" s="733" t="s">
        <v>401</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403</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383</v>
      </c>
      <c r="B10" s="1152"/>
      <c r="E10" s="1152"/>
      <c r="AC10" s="1150" t="s">
        <v>374</v>
      </c>
      <c r="AD10" s="1150" t="s">
        <v>397</v>
      </c>
      <c r="AE10" s="1150" t="s">
        <v>398</v>
      </c>
      <c r="AF10" s="1150" t="s">
        <v>399</v>
      </c>
      <c r="AG10" s="1150" t="s">
        <v>400</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Ульяновская область / 2026 / ООО "НИИАР-ГЕНЕРАЦИЯ" (ИНН:7329008990, КПП:732901001)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404</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385</v>
      </c>
      <c r="AC24" s="808" t="s">
        <v>405</v>
      </c>
      <c r="AD24" s="261" t="s">
        <v>406</v>
      </c>
      <c r="AE24" s="261" t="s">
        <v>407</v>
      </c>
      <c r="AF24" s="261" t="s">
        <v>408</v>
      </c>
      <c r="AG24" s="261" t="s">
        <v>409</v>
      </c>
      <c r="AH24" s="261" t="s">
        <v>410</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311</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411</v>
      </c>
      <c r="K28" s="211" t="s">
        <v>412</v>
      </c>
      <c r="U28" s="921">
        <f>AND(F28&gt;0,AB28&gt;0)</f>
        <v>0</v>
      </c>
      <c r="X28" s="168" t="s">
        <v>235</v>
      </c>
      <c r="AA28" s="915" t="s">
        <v>219</v>
      </c>
      <c r="AB28" s="151">
        <v>0</v>
      </c>
      <c r="AC28" s="464" t="str">
        <f>I28&amp;" :: "&amp;K28</f>
        <v>Наименование объекта :: адрес</v>
      </c>
      <c r="AD28" s="460"/>
      <c r="AE28" s="460"/>
      <c r="AF28" s="476"/>
      <c r="AG28" s="476"/>
      <c r="AH28" s="58"/>
      <c r="AK28" s="1204" t="s">
        <v>413</v>
      </c>
      <c r="AL28" s="1206" t="s">
        <v>414</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415</v>
      </c>
      <c r="AB29" s="252"/>
      <c r="AC29" s="255" t="s">
        <v>416</v>
      </c>
      <c r="AD29" s="253"/>
      <c r="AE29" s="253"/>
      <c r="AF29" s="253"/>
      <c r="AG29" s="253"/>
      <c r="AH29" s="262"/>
      <c r="AK29" s="1204"/>
      <c r="AL29" s="1204"/>
      <c r="AM29" s="1204"/>
      <c r="AN29" s="1204"/>
      <c r="AO29" s="1204"/>
      <c r="AP29" s="1204"/>
      <c r="AQ29" s="1204"/>
      <c r="AR29" s="1205" t="s">
        <v>414</v>
      </c>
      <c r="AS29" s="1205"/>
    </row>
    <row s="1644"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337</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4"/>
      <c r="AL30" s="1204"/>
      <c r="AM30" s="1204"/>
      <c r="AN30" s="1204"/>
      <c r="AO30" s="1204"/>
      <c r="AP30" s="1204"/>
      <c r="AQ30" s="1204"/>
      <c r="AR30" s="1205"/>
      <c r="AS30" s="1205"/>
    </row>
    <row s="1645"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411</v>
      </c>
      <c r="K32" s="211" t="s">
        <v>412</v>
      </c>
      <c r="U32" s="921">
        <f>AND(F32&gt;0,AB32&gt;0)</f>
        <v>0</v>
      </c>
      <c r="X32" s="168" t="s">
        <v>235</v>
      </c>
      <c r="AA32" s="915" t="s">
        <v>219</v>
      </c>
      <c r="AB32" s="151">
        <v>0</v>
      </c>
      <c r="AC32" s="464" t="str">
        <f>I32&amp;" :: "&amp;K32</f>
        <v>Наименование объекта :: адрес</v>
      </c>
      <c r="AD32" s="460"/>
      <c r="AE32" s="460"/>
      <c r="AF32" s="476"/>
      <c r="AG32" s="476"/>
      <c r="AH32" s="58"/>
      <c r="AK32" s="1204" t="s">
        <v>413</v>
      </c>
      <c r="AL32" s="1206" t="s">
        <v>414</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417</v>
      </c>
      <c r="J33" s="935"/>
      <c r="K33" s="211" t="s">
        <v>418</v>
      </c>
      <c r="L33" s="935"/>
      <c r="M33" s="935"/>
      <c r="N33" s="935"/>
      <c r="O33" s="935"/>
      <c r="P33" s="935"/>
      <c r="Q33" s="935"/>
      <c r="R33" s="935"/>
      <c r="S33" s="935"/>
      <c r="T33" s="935"/>
      <c r="U33" s="921">
        <f>AND(F33&gt;0,AB33&gt;0)</f>
        <v>1</v>
      </c>
      <c r="V33" s="935"/>
      <c r="W33" s="935"/>
      <c r="X33" s="168"/>
      <c r="Y33" s="935"/>
      <c r="Z33" s="935"/>
      <c r="AA33" s="915" t="s">
        <v>219</v>
      </c>
      <c r="AB33" s="151" t="s">
        <v>337</v>
      </c>
      <c r="AC33" s="464" t="str">
        <f>I33&amp;" :: "&amp;K33</f>
        <v>ТЭЦ :: г Димитровград, ш. Речное, 7</v>
      </c>
      <c r="AD33" s="460" t="s">
        <v>419</v>
      </c>
      <c r="AE33" s="460" t="s">
        <v>420</v>
      </c>
      <c r="AF33" s="476" t="s">
        <v>421</v>
      </c>
      <c r="AG33" s="476" t="s">
        <v>422</v>
      </c>
      <c r="AH33" s="1646"/>
      <c r="AI33" s="935"/>
      <c r="AJ33" s="935"/>
      <c r="AK33" s="1204" t="s">
        <v>413</v>
      </c>
      <c r="AL33" s="1206" t="s">
        <v>414</v>
      </c>
      <c r="AM33" s="1206" cm="1" t="str">
        <f t="array" ref="AM33:AM33">AC33</f>
        <v>ТЭЦ :: г Димитровград, ш. Речное, 7</v>
      </c>
      <c r="AN33" s="1206" cm="1" t="str">
        <f t="array" ref="AN33:AN33">AD33</f>
        <v>аренда</v>
      </c>
      <c r="AO33" s="1206" cm="1" t="str">
        <f t="array" ref="AO33:AO33">AE33</f>
        <v>договор</v>
      </c>
      <c r="AP33" s="1206" cm="1" t="str">
        <f t="array" ref="AP33:AP33">AF33</f>
        <v>8400/13-09</v>
      </c>
      <c r="AQ33" s="1206" cm="1" t="str">
        <f t="array" ref="AQ33:AQ33">AG33</f>
        <v>01.04.2013</v>
      </c>
      <c r="AR33" s="1207"/>
      <c r="AS33" s="1207" t="b">
        <v>1</v>
      </c>
    </row>
    <row s="1647"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1">
        <f>F34&gt;0</f>
        <v>1</v>
      </c>
      <c r="V34" s="217"/>
      <c r="W34" s="217"/>
      <c r="X34" s="168" t="s">
        <v>415</v>
      </c>
      <c r="Y34" s="217"/>
      <c r="Z34" s="217"/>
      <c r="AA34" s="217"/>
      <c r="AB34" s="252"/>
      <c r="AC34" s="255" t="s">
        <v>416</v>
      </c>
      <c r="AD34" s="253"/>
      <c r="AE34" s="253"/>
      <c r="AF34" s="253"/>
      <c r="AG34" s="253"/>
      <c r="AH34" s="262"/>
      <c r="AI34" s="217"/>
      <c r="AJ34" s="217"/>
      <c r="AK34" s="1204"/>
      <c r="AL34" s="1204"/>
      <c r="AM34" s="1204"/>
      <c r="AN34" s="1204"/>
      <c r="AO34" s="1204"/>
      <c r="AP34" s="1204"/>
      <c r="AQ34" s="1204"/>
      <c r="AR34" s="1205" t="s">
        <v>414</v>
      </c>
      <c r="AS34" s="1205"/>
    </row>
    <row customHeight="1" ht="11.25">
      <c r="U35" s="168"/>
      <c r="V35" s="172" t="s">
        <v>237</v>
      </c>
      <c r="W35" s="168" t="s">
        <v>423</v>
      </c>
      <c r="X35" s="168"/>
      <c r="Y35" s="168"/>
      <c r="AI35" s="970"/>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A5848-9BD3-CE9F-FC41-DE9FC621D7A7}"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7.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372</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424</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425</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426</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Ульяновская область / 2026 / ООО "НИИАР-ГЕНЕРАЦИЯ" (ИНН:7329008990, КПП:732901001)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385</v>
      </c>
      <c r="AC24" s="1440" t="s">
        <v>427</v>
      </c>
      <c r="AD24" s="1440" t="s">
        <v>428</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429</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401</v>
      </c>
      <c r="AF25" s="1354" t="s">
        <v>402</v>
      </c>
      <c r="AG25" s="1355" t="s">
        <v>402</v>
      </c>
      <c r="AH25" s="1355" t="s">
        <v>402</v>
      </c>
      <c r="AI25" s="1355" t="s">
        <v>402</v>
      </c>
      <c r="AJ25" s="1355" t="s">
        <v>402</v>
      </c>
      <c r="AK25" s="1355" t="s">
        <v>402</v>
      </c>
      <c r="AL25" s="1355" t="s">
        <v>402</v>
      </c>
      <c r="AM25" s="1355" t="s">
        <v>402</v>
      </c>
      <c r="AN25" s="1355" t="s">
        <v>402</v>
      </c>
      <c r="AO25" s="1355" t="s">
        <v>402</v>
      </c>
      <c r="AP25" s="167" t="s">
        <v>401</v>
      </c>
      <c r="AQ25" s="167" t="s">
        <v>401</v>
      </c>
      <c r="AR25" s="167" t="s">
        <v>401</v>
      </c>
      <c r="AS25" s="167" t="s">
        <v>401</v>
      </c>
      <c r="AT25" s="167" t="s">
        <v>401</v>
      </c>
      <c r="AU25" s="167" t="s">
        <v>401</v>
      </c>
      <c r="AV25" s="167" t="s">
        <v>401</v>
      </c>
      <c r="AW25" s="167" t="s">
        <v>401</v>
      </c>
      <c r="AX25" s="167" t="s">
        <v>401</v>
      </c>
      <c r="AY25" s="167" t="s">
        <v>401</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311</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430</v>
      </c>
      <c r="H28" s="210" t="s">
        <v>431</v>
      </c>
      <c r="I28" s="210" t="str">
        <f>AC28&amp;"::"&amp;AD28</f>
        <v>Количество условных единиц для производства::УЕ</v>
      </c>
      <c r="U28" s="805" cm="1" t="str">
        <f t="array" ref="U28:U28">U27</f>
        <v>false</v>
      </c>
      <c r="AB28" s="502">
        <v>1</v>
      </c>
      <c r="AC28" s="598" t="s">
        <v>432</v>
      </c>
      <c r="AD28" s="477" t="s">
        <v>433</v>
      </c>
      <c r="AE28" s="59" cm="1" t="str">
        <f t="array" ref="AE28:AE28">AE29</f>
        <v>0</v>
      </c>
      <c r="AF28" s="209" cm="1" t="str">
        <f t="array" ref="AF28:AF28">AF29</f>
        <v>0</v>
      </c>
      <c r="AG28" s="1661" cm="1" t="str">
        <f t="array" ref="AG28:AG28">AG29</f>
        <v>0</v>
      </c>
      <c r="AH28" s="1661"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61" cm="1" t="str">
        <f t="array" ref="AQ28:AQ28">AQ29</f>
        <v>0</v>
      </c>
      <c r="AR28" s="1661"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434</v>
      </c>
    </row>
    <row s="217" customFormat="1" customHeight="1" ht="16.672500000000003" hidden="1">
      <c r="E29" s="794">
        <v>17.1</v>
      </c>
      <c r="F29" s="920" cm="1" t="str">
        <f t="array" ref="F29:F29">OFFSET(G29,-1,-1)</f>
        <v>0</v>
      </c>
      <c r="G29" s="736" t="s">
        <v>435</v>
      </c>
      <c r="H29" s="210" t="s">
        <v>431</v>
      </c>
      <c r="I29" s="210" t="str">
        <f>AC29&amp;"::"&amp;AD29</f>
        <v>Установленная тепловая мощность::Гкал/час</v>
      </c>
      <c r="U29" s="805" cm="1" t="str">
        <f t="array" ref="U29:U29">U28</f>
        <v>false</v>
      </c>
      <c r="AB29" s="477" t="s">
        <v>436</v>
      </c>
      <c r="AC29" s="501" t="s">
        <v>437</v>
      </c>
      <c r="AD29" s="477" t="s">
        <v>438</v>
      </c>
      <c r="AE29" s="59"/>
      <c r="AF29" s="209"/>
      <c r="AG29" s="1661"/>
      <c r="AH29" s="1661"/>
      <c r="AI29" s="59"/>
      <c r="AJ29" s="59"/>
      <c r="AK29" s="59"/>
      <c r="AL29" s="59"/>
      <c r="AM29" s="59"/>
      <c r="AN29" s="59"/>
      <c r="AO29" s="59"/>
      <c r="AP29" s="209"/>
      <c r="AQ29" s="1661"/>
      <c r="AR29" s="1661"/>
      <c r="AS29" s="59"/>
      <c r="AT29" s="59"/>
      <c r="AU29" s="59"/>
      <c r="AV29" s="59"/>
      <c r="AW29" s="59"/>
      <c r="AX29" s="59"/>
      <c r="AY29" s="59"/>
      <c r="AZ29" s="60"/>
      <c r="BC29" s="1159" t="s">
        <v>439</v>
      </c>
    </row>
    <row s="217" customFormat="1" customHeight="1" ht="16.672500000000003" hidden="1">
      <c r="E30" s="794">
        <v>17.1</v>
      </c>
      <c r="F30" s="920" cm="1" t="str">
        <f t="array" ref="F30:F30">OFFSET(G30,-1,-1)</f>
        <v>0</v>
      </c>
      <c r="G30" s="736" t="s">
        <v>430</v>
      </c>
      <c r="U30" s="805" cm="1" t="str">
        <f t="array" ref="U30:U30">U29</f>
        <v>false</v>
      </c>
      <c r="AB30" s="565" t="s">
        <v>440</v>
      </c>
      <c r="AC30" s="599" t="s">
        <v>441</v>
      </c>
      <c r="AD30" s="477" t="s">
        <v>433</v>
      </c>
      <c r="AE30" s="59">
        <f>AE31+5*AE44+25*AE45+0.5*AE46</f>
        <v>0</v>
      </c>
      <c r="AF30" s="209">
        <f>AF31+5*AF44+25*AF45+0.5*AF46</f>
        <v>0</v>
      </c>
      <c r="AG30" s="1661">
        <f>AG31+5*AG44+25*AG45+0.5*AG46</f>
        <v>0</v>
      </c>
      <c r="AH30" s="1661">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61">
        <f>AQ31+5*AQ44+25*AQ45+0.5*AQ46</f>
        <v>0</v>
      </c>
      <c r="AR30" s="1661">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442</v>
      </c>
    </row>
    <row s="217" customFormat="1" customHeight="1" ht="16.672500000000003" hidden="1">
      <c r="E31" s="794">
        <v>17.1</v>
      </c>
      <c r="F31" s="920" cm="1" t="str">
        <f t="array" ref="F31:F31">OFFSET(G31,-1,-1)</f>
        <v>0</v>
      </c>
      <c r="U31" s="805" cm="1" t="str">
        <f t="array" ref="U31:U31">U30</f>
        <v>false</v>
      </c>
      <c r="AB31" s="496" t="s">
        <v>443</v>
      </c>
      <c r="AC31" s="570" t="s">
        <v>444</v>
      </c>
      <c r="AD31" s="477" t="s">
        <v>433</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445</v>
      </c>
    </row>
    <row s="217" customFormat="1" customHeight="1" ht="16.672500000000003" hidden="1">
      <c r="E32" s="794">
        <v>17.1</v>
      </c>
      <c r="F32" s="920" cm="1" t="str">
        <f t="array" ref="F32:F32">OFFSET(G32,-1,-1)</f>
        <v>0</v>
      </c>
      <c r="U32" s="805" cm="1" t="str">
        <f t="array" ref="U32:U32">U31</f>
        <v>false</v>
      </c>
      <c r="AB32" s="569" t="s">
        <v>446</v>
      </c>
      <c r="AC32" s="579" t="s">
        <v>447</v>
      </c>
      <c r="AD32" s="477" t="s">
        <v>433</v>
      </c>
      <c r="AE32" s="59">
        <f>0.75*(11*AE34+MAX(0.06*AE34*(AE33-100),0))</f>
        <v>0</v>
      </c>
      <c r="AF32" s="209">
        <f>0.75*(11*AF34+MAX(0.06*AF34*(AF33-100),0))</f>
        <v>0</v>
      </c>
      <c r="AG32" s="1661">
        <f>0.75*(11*AG34+MAX(0.06*AG34*(AG33-100),0))</f>
        <v>0</v>
      </c>
      <c r="AH32" s="1661">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61">
        <f>0.75*(11*AQ34+MAX(0.06*AQ34*(AQ33-100),0))</f>
        <v>0</v>
      </c>
      <c r="AR32" s="1661">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448</v>
      </c>
    </row>
    <row s="217" customFormat="1" customHeight="1" ht="16.672500000000003" hidden="1">
      <c r="E33" s="794">
        <v>17.1</v>
      </c>
      <c r="F33" s="920" cm="1" t="str">
        <f t="array" ref="F33:F33">OFFSET(G33,-1,-1)</f>
        <v>0</v>
      </c>
      <c r="U33" s="805" cm="1" t="str">
        <f t="array" ref="U33:U33">U32</f>
        <v>false</v>
      </c>
      <c r="AB33" s="576" t="str">
        <f>AB32&amp;".1"</f>
        <v>2.1.1.1</v>
      </c>
      <c r="AC33" s="578" t="s">
        <v>449</v>
      </c>
      <c r="AD33" s="170" t="s">
        <v>450</v>
      </c>
      <c r="AE33" s="61"/>
      <c r="AF33" s="581"/>
      <c r="AG33" s="1663"/>
      <c r="AH33" s="1663"/>
      <c r="AI33" s="61"/>
      <c r="AJ33" s="61"/>
      <c r="AK33" s="61"/>
      <c r="AL33" s="61"/>
      <c r="AM33" s="61"/>
      <c r="AN33" s="61"/>
      <c r="AO33" s="61"/>
      <c r="AP33" s="581"/>
      <c r="AQ33" s="1663"/>
      <c r="AR33" s="1663"/>
      <c r="AS33" s="61"/>
      <c r="AT33" s="61"/>
      <c r="AU33" s="61"/>
      <c r="AV33" s="61"/>
      <c r="AW33" s="61"/>
      <c r="AX33" s="61"/>
      <c r="AY33" s="61"/>
      <c r="AZ33" s="60"/>
      <c r="BC33" s="1159" t="s">
        <v>451</v>
      </c>
    </row>
    <row s="217" customFormat="1" customHeight="1" ht="16.672500000000003" hidden="1">
      <c r="E34" s="794">
        <v>17.1</v>
      </c>
      <c r="F34" s="920" cm="1" t="str">
        <f t="array" ref="F34:F34">OFFSET(G34,-1,-1)</f>
        <v>0</v>
      </c>
      <c r="U34" s="805" cm="1" t="str">
        <f t="array" ref="U34:U34">U33</f>
        <v>false</v>
      </c>
      <c r="AB34" s="576" t="str">
        <f>AB32&amp;".2"</f>
        <v>2.1.1.2</v>
      </c>
      <c r="AC34" s="578" t="s">
        <v>452</v>
      </c>
      <c r="AD34" s="577" t="s">
        <v>453</v>
      </c>
      <c r="AE34" s="62"/>
      <c r="AF34" s="280"/>
      <c r="AG34" s="1664"/>
      <c r="AH34" s="1664"/>
      <c r="AI34" s="62"/>
      <c r="AJ34" s="62"/>
      <c r="AK34" s="62"/>
      <c r="AL34" s="62"/>
      <c r="AM34" s="62"/>
      <c r="AN34" s="62"/>
      <c r="AO34" s="62"/>
      <c r="AP34" s="280"/>
      <c r="AQ34" s="1664"/>
      <c r="AR34" s="1664"/>
      <c r="AS34" s="62"/>
      <c r="AT34" s="62"/>
      <c r="AU34" s="62"/>
      <c r="AV34" s="62"/>
      <c r="AW34" s="62"/>
      <c r="AX34" s="62"/>
      <c r="AY34" s="62"/>
      <c r="AZ34" s="60"/>
      <c r="BC34" s="1159" t="s">
        <v>454</v>
      </c>
    </row>
    <row s="217" customFormat="1" customHeight="1" ht="16.672500000000003" hidden="1">
      <c r="E35" s="794">
        <v>17.1</v>
      </c>
      <c r="F35" s="920" cm="1" t="str">
        <f t="array" ref="F35:F35">OFFSET(G35,-1,-1)</f>
        <v>0</v>
      </c>
      <c r="U35" s="805" cm="1" t="str">
        <f t="array" ref="U35:U35">U34</f>
        <v>false</v>
      </c>
      <c r="AB35" s="575" t="s">
        <v>455</v>
      </c>
      <c r="AC35" s="559" t="s">
        <v>456</v>
      </c>
      <c r="AD35" s="477" t="s">
        <v>433</v>
      </c>
      <c r="AE35" s="59">
        <f>(11*AE37+MAX(0.06*AE37*(AE36-100),0))</f>
        <v>0</v>
      </c>
      <c r="AF35" s="209">
        <f>(11*AF37+MAX(0.06*AF37*(AF36-100),0))</f>
        <v>0</v>
      </c>
      <c r="AG35" s="1661">
        <f>(11*AG37+MAX(0.06*AG37*(AG36-100),0))</f>
        <v>0</v>
      </c>
      <c r="AH35" s="1661">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61">
        <f>(11*AQ37+MAX(0.06*AQ37*(AQ36-100),0))</f>
        <v>0</v>
      </c>
      <c r="AR35" s="1661">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457</v>
      </c>
    </row>
    <row s="217" customFormat="1" customHeight="1" ht="16.672500000000003" hidden="1">
      <c r="E36" s="794">
        <v>17.1</v>
      </c>
      <c r="F36" s="920" cm="1" t="str">
        <f t="array" ref="F36:F36">OFFSET(G36,-1,-1)</f>
        <v>0</v>
      </c>
      <c r="U36" s="805" cm="1" t="str">
        <f t="array" ref="U36:U36">U35</f>
        <v>false</v>
      </c>
      <c r="AB36" s="576" t="str">
        <f>AB35&amp;".1"</f>
        <v>2.1.2.1</v>
      </c>
      <c r="AC36" s="578" t="s">
        <v>449</v>
      </c>
      <c r="AD36" s="670" t="s">
        <v>450</v>
      </c>
      <c r="AE36" s="63"/>
      <c r="AF36" s="280"/>
      <c r="AG36" s="1664"/>
      <c r="AH36" s="1664"/>
      <c r="AI36" s="62"/>
      <c r="AJ36" s="62"/>
      <c r="AK36" s="62"/>
      <c r="AL36" s="62"/>
      <c r="AM36" s="62"/>
      <c r="AN36" s="62"/>
      <c r="AO36" s="62"/>
      <c r="AP36" s="280"/>
      <c r="AQ36" s="1664"/>
      <c r="AR36" s="1664"/>
      <c r="AS36" s="62"/>
      <c r="AT36" s="62"/>
      <c r="AU36" s="62"/>
      <c r="AV36" s="62"/>
      <c r="AW36" s="62"/>
      <c r="AX36" s="62"/>
      <c r="AY36" s="62"/>
      <c r="AZ36" s="60"/>
      <c r="BC36" s="1159" t="s">
        <v>458</v>
      </c>
    </row>
    <row s="217" customFormat="1" customHeight="1" ht="16.672500000000003" hidden="1">
      <c r="E37" s="794">
        <v>17.1</v>
      </c>
      <c r="F37" s="920" cm="1" t="str">
        <f t="array" ref="F37:F37">OFFSET(G37,-1,-1)</f>
        <v>0</v>
      </c>
      <c r="U37" s="805" cm="1" t="str">
        <f t="array" ref="U37:U37">U36</f>
        <v>false</v>
      </c>
      <c r="AB37" s="576" t="str">
        <f>AB35&amp;".2"</f>
        <v>2.1.2.2</v>
      </c>
      <c r="AC37" s="718" t="s">
        <v>452</v>
      </c>
      <c r="AD37" s="170" t="s">
        <v>453</v>
      </c>
      <c r="AE37" s="62"/>
      <c r="AF37" s="583"/>
      <c r="AG37" s="1664"/>
      <c r="AH37" s="1664"/>
      <c r="AI37" s="62"/>
      <c r="AJ37" s="62"/>
      <c r="AK37" s="62"/>
      <c r="AL37" s="62"/>
      <c r="AM37" s="62"/>
      <c r="AN37" s="62"/>
      <c r="AO37" s="62"/>
      <c r="AP37" s="280"/>
      <c r="AQ37" s="1664"/>
      <c r="AR37" s="1664"/>
      <c r="AS37" s="62"/>
      <c r="AT37" s="62"/>
      <c r="AU37" s="62"/>
      <c r="AV37" s="62"/>
      <c r="AW37" s="62"/>
      <c r="AX37" s="62"/>
      <c r="AY37" s="62"/>
      <c r="AZ37" s="60"/>
      <c r="BC37" s="1159" t="s">
        <v>459</v>
      </c>
    </row>
    <row s="217" customFormat="1" customHeight="1" ht="16.672500000000003" hidden="1">
      <c r="E38" s="794">
        <v>17.1</v>
      </c>
      <c r="F38" s="920" cm="1" t="str">
        <f t="array" ref="F38:F38">OFFSET(G38,-1,-1)</f>
        <v>0</v>
      </c>
      <c r="U38" s="805" cm="1" t="str">
        <f t="array" ref="U38:U38">U37</f>
        <v>false</v>
      </c>
      <c r="AB38" s="285" t="s">
        <v>460</v>
      </c>
      <c r="AC38" s="719" t="s">
        <v>461</v>
      </c>
      <c r="AD38" s="285" t="s">
        <v>433</v>
      </c>
      <c r="AE38" s="62">
        <f>1.25*(11*AE40+MAX(0.06*AE40*(AE39-100),0))</f>
        <v>0</v>
      </c>
      <c r="AF38" s="723">
        <f>1.25*(11*AF40+MAX(0.06*AF40*(AF39-100),0))</f>
        <v>0</v>
      </c>
      <c r="AG38" s="1661">
        <f>1.25*(11*AG40+MAX(0.06*AG40*(AG39-100),0))</f>
        <v>0</v>
      </c>
      <c r="AH38" s="1661">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61">
        <f>1.25*(11*AQ40+MAX(0.06*AQ40*(AQ39-100),0))</f>
        <v>0</v>
      </c>
      <c r="AR38" s="1661">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462</v>
      </c>
    </row>
    <row s="217" customFormat="1" customHeight="1" ht="16.672500000000003" hidden="1">
      <c r="E39" s="794">
        <v>17.1</v>
      </c>
      <c r="F39" s="920" cm="1" t="str">
        <f t="array" ref="F39:F39">OFFSET(G39,-1,-1)</f>
        <v>0</v>
      </c>
      <c r="U39" s="805" cm="1" t="str">
        <f t="array" ref="U39:U39">U38</f>
        <v>false</v>
      </c>
      <c r="AB39" s="576" t="str">
        <f>AB38&amp;".1"</f>
        <v>2.1.3.1</v>
      </c>
      <c r="AC39" s="718" t="s">
        <v>449</v>
      </c>
      <c r="AD39" s="170" t="s">
        <v>450</v>
      </c>
      <c r="AE39" s="62"/>
      <c r="AF39" s="582"/>
      <c r="AG39" s="1665"/>
      <c r="AH39" s="1665"/>
      <c r="AI39" s="64"/>
      <c r="AJ39" s="64"/>
      <c r="AK39" s="64"/>
      <c r="AL39" s="64"/>
      <c r="AM39" s="64"/>
      <c r="AN39" s="64"/>
      <c r="AO39" s="64"/>
      <c r="AP39" s="582"/>
      <c r="AQ39" s="1665"/>
      <c r="AR39" s="1665"/>
      <c r="AS39" s="64"/>
      <c r="AT39" s="64"/>
      <c r="AU39" s="64"/>
      <c r="AV39" s="64"/>
      <c r="AW39" s="64"/>
      <c r="AX39" s="64"/>
      <c r="AY39" s="64"/>
      <c r="AZ39" s="60"/>
      <c r="BC39" s="1159" t="s">
        <v>463</v>
      </c>
    </row>
    <row s="217" customFormat="1" customHeight="1" ht="16.672500000000003" hidden="1">
      <c r="E40" s="794">
        <v>17.1</v>
      </c>
      <c r="F40" s="920" cm="1" t="str">
        <f t="array" ref="F40:F40">OFFSET(G40,-1,-1)</f>
        <v>0</v>
      </c>
      <c r="U40" s="805" cm="1" t="str">
        <f t="array" ref="U40:U40">U39</f>
        <v>false</v>
      </c>
      <c r="AB40" s="576" t="str">
        <f>AB38&amp;".2"</f>
        <v>2.1.3.2</v>
      </c>
      <c r="AC40" s="718" t="s">
        <v>452</v>
      </c>
      <c r="AD40" s="170" t="s">
        <v>453</v>
      </c>
      <c r="AE40" s="62"/>
      <c r="AF40" s="583"/>
      <c r="AG40" s="1666"/>
      <c r="AH40" s="1666"/>
      <c r="AI40" s="65"/>
      <c r="AJ40" s="65"/>
      <c r="AK40" s="65"/>
      <c r="AL40" s="65"/>
      <c r="AM40" s="65"/>
      <c r="AN40" s="65"/>
      <c r="AO40" s="65"/>
      <c r="AP40" s="583"/>
      <c r="AQ40" s="1666"/>
      <c r="AR40" s="1666"/>
      <c r="AS40" s="65"/>
      <c r="AT40" s="65"/>
      <c r="AU40" s="65"/>
      <c r="AV40" s="65"/>
      <c r="AW40" s="65"/>
      <c r="AX40" s="65"/>
      <c r="AY40" s="65"/>
      <c r="AZ40" s="60"/>
      <c r="BC40" s="1159" t="s">
        <v>464</v>
      </c>
    </row>
    <row s="217" customFormat="1" customHeight="1" ht="16.672500000000003" hidden="1">
      <c r="E41" s="794">
        <v>17.1</v>
      </c>
      <c r="F41" s="920" cm="1" t="str">
        <f t="array" ref="F41:F41">OFFSET(G41,-1,-1)</f>
        <v>0</v>
      </c>
      <c r="H41" s="210" t="s">
        <v>431</v>
      </c>
      <c r="I41" s="210" t="str">
        <f>AC41&amp;"::"&amp;AD41</f>
        <v>Четырехтрубные::УЕ</v>
      </c>
      <c r="U41" s="805" cm="1" t="str">
        <f t="array" ref="U41:U41">U40</f>
        <v>false</v>
      </c>
      <c r="AB41" s="285" t="s">
        <v>465</v>
      </c>
      <c r="AC41" s="719" t="s">
        <v>466</v>
      </c>
      <c r="AD41" s="285" t="s">
        <v>433</v>
      </c>
      <c r="AE41" s="62">
        <f>1.5*(11*AE43+MAX(0.06*AE43*(AE42-100),0))</f>
        <v>0</v>
      </c>
      <c r="AF41" s="723">
        <f>1.5*(11*AF43+MAX(0.06*AF43*(AF42-100),0))</f>
        <v>0</v>
      </c>
      <c r="AG41" s="1661">
        <f>1.5*(11*AG43+MAX(0.06*AG43*(AG42-100),0))</f>
        <v>0</v>
      </c>
      <c r="AH41" s="1661">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61">
        <f>1.5*(11*AQ43+MAX(0.06*AQ43*(AQ42-100),0))</f>
        <v>0</v>
      </c>
      <c r="AR41" s="1661">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467</v>
      </c>
    </row>
    <row s="217" customFormat="1" customHeight="1" ht="16.672500000000003" hidden="1">
      <c r="E42" s="794">
        <v>17.1</v>
      </c>
      <c r="F42" s="920" cm="1" t="str">
        <f t="array" ref="F42:F42">OFFSET(G42,-1,-1)</f>
        <v>0</v>
      </c>
      <c r="U42" s="805" cm="1" t="str">
        <f t="array" ref="U42:U42">U41</f>
        <v>false</v>
      </c>
      <c r="AB42" s="576" t="str">
        <f>AB41&amp;".1"</f>
        <v>2.1.4.1</v>
      </c>
      <c r="AC42" s="718" t="s">
        <v>449</v>
      </c>
      <c r="AD42" s="170" t="s">
        <v>450</v>
      </c>
      <c r="AE42" s="62"/>
      <c r="AF42" s="583"/>
      <c r="AG42" s="1666"/>
      <c r="AH42" s="1666"/>
      <c r="AI42" s="65"/>
      <c r="AJ42" s="65"/>
      <c r="AK42" s="65"/>
      <c r="AL42" s="65"/>
      <c r="AM42" s="65"/>
      <c r="AN42" s="65"/>
      <c r="AO42" s="65"/>
      <c r="AP42" s="583"/>
      <c r="AQ42" s="1666"/>
      <c r="AR42" s="1666"/>
      <c r="AS42" s="65"/>
      <c r="AT42" s="65"/>
      <c r="AU42" s="65"/>
      <c r="AV42" s="65"/>
      <c r="AW42" s="65"/>
      <c r="AX42" s="65"/>
      <c r="AY42" s="65"/>
      <c r="AZ42" s="60"/>
      <c r="BC42" s="1159" t="s">
        <v>468</v>
      </c>
    </row>
    <row s="217" customFormat="1" customHeight="1" ht="16.672500000000003" hidden="1">
      <c r="E43" s="794">
        <v>17.1</v>
      </c>
      <c r="F43" s="920" cm="1" t="str">
        <f t="array" ref="F43:F43">OFFSET(G43,-1,-1)</f>
        <v>0</v>
      </c>
      <c r="U43" s="805" cm="1" t="str">
        <f t="array" ref="U43:U43">U42</f>
        <v>false</v>
      </c>
      <c r="AB43" s="576" t="str">
        <f>AB41&amp;".2"</f>
        <v>2.1.4.2</v>
      </c>
      <c r="AC43" s="718" t="s">
        <v>452</v>
      </c>
      <c r="AD43" s="170" t="s">
        <v>453</v>
      </c>
      <c r="AE43" s="62"/>
      <c r="AF43" s="583"/>
      <c r="AG43" s="1666"/>
      <c r="AH43" s="1666"/>
      <c r="AI43" s="65"/>
      <c r="AJ43" s="65"/>
      <c r="AK43" s="65"/>
      <c r="AL43" s="65"/>
      <c r="AM43" s="65"/>
      <c r="AN43" s="65"/>
      <c r="AO43" s="65"/>
      <c r="AP43" s="583"/>
      <c r="AQ43" s="1666"/>
      <c r="AR43" s="1666"/>
      <c r="AS43" s="65"/>
      <c r="AT43" s="65"/>
      <c r="AU43" s="65"/>
      <c r="AV43" s="65"/>
      <c r="AW43" s="65"/>
      <c r="AX43" s="65"/>
      <c r="AY43" s="65"/>
      <c r="AZ43" s="60"/>
      <c r="BC43" s="1159" t="s">
        <v>469</v>
      </c>
    </row>
    <row s="217" customFormat="1" customHeight="1" ht="30.03" hidden="1">
      <c r="E44" s="794">
        <v>30.8</v>
      </c>
      <c r="F44" s="920" cm="1" t="str">
        <f t="array" ref="F44:F44">OFFSET(G44,-1,-1)</f>
        <v>0</v>
      </c>
      <c r="U44" s="805" cm="1" t="str">
        <f t="array" ref="U44:U44">U43</f>
        <v>false</v>
      </c>
      <c r="AB44" s="571" t="s">
        <v>470</v>
      </c>
      <c r="AC44" s="720" t="s">
        <v>471</v>
      </c>
      <c r="AD44" s="170" t="s">
        <v>472</v>
      </c>
      <c r="AE44" s="62"/>
      <c r="AF44" s="583"/>
      <c r="AG44" s="1664"/>
      <c r="AH44" s="1664"/>
      <c r="AI44" s="62"/>
      <c r="AJ44" s="62"/>
      <c r="AK44" s="62"/>
      <c r="AL44" s="62"/>
      <c r="AM44" s="62"/>
      <c r="AN44" s="62"/>
      <c r="AO44" s="62"/>
      <c r="AP44" s="280"/>
      <c r="AQ44" s="1664"/>
      <c r="AR44" s="1664"/>
      <c r="AS44" s="62"/>
      <c r="AT44" s="62"/>
      <c r="AU44" s="62"/>
      <c r="AV44" s="62"/>
      <c r="AW44" s="62"/>
      <c r="AX44" s="62"/>
      <c r="AY44" s="62"/>
      <c r="AZ44" s="60"/>
      <c r="BC44" s="1159" t="s">
        <v>473</v>
      </c>
    </row>
    <row s="217" customFormat="1" customHeight="1" ht="38.805" hidden="1">
      <c r="E45" s="794">
        <v>39.8</v>
      </c>
      <c r="F45" s="920" cm="1" t="str">
        <f t="array" ref="F45:F45">OFFSET(G45,-1,-1)</f>
        <v>0</v>
      </c>
      <c r="U45" s="805" cm="1" t="str">
        <f t="array" ref="U45:U45">U44</f>
        <v>false</v>
      </c>
      <c r="AB45" s="572" t="s">
        <v>474</v>
      </c>
      <c r="AC45" s="721" t="s">
        <v>475</v>
      </c>
      <c r="AD45" s="170" t="s">
        <v>476</v>
      </c>
      <c r="AE45" s="62"/>
      <c r="AF45" s="583"/>
      <c r="AG45" s="1664"/>
      <c r="AH45" s="1664"/>
      <c r="AI45" s="62"/>
      <c r="AJ45" s="62"/>
      <c r="AK45" s="62"/>
      <c r="AL45" s="62"/>
      <c r="AM45" s="62"/>
      <c r="AN45" s="62"/>
      <c r="AO45" s="62"/>
      <c r="AP45" s="280"/>
      <c r="AQ45" s="1664"/>
      <c r="AR45" s="1664"/>
      <c r="AS45" s="62"/>
      <c r="AT45" s="62"/>
      <c r="AU45" s="62"/>
      <c r="AV45" s="62"/>
      <c r="AW45" s="62"/>
      <c r="AX45" s="62"/>
      <c r="AY45" s="62"/>
      <c r="AZ45" s="60"/>
      <c r="BC45" s="1159" t="s">
        <v>477</v>
      </c>
    </row>
    <row s="217" customFormat="1" customHeight="1" ht="48.26250000000001" hidden="1">
      <c r="E46" s="794">
        <v>49.5</v>
      </c>
      <c r="F46" s="920" cm="1" t="str">
        <f t="array" ref="F46:F46">OFFSET(G46,-1,-1)</f>
        <v>0</v>
      </c>
      <c r="H46" s="210" t="s">
        <v>431</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478</v>
      </c>
      <c r="AC46" s="161" t="s">
        <v>479</v>
      </c>
      <c r="AD46" s="555" t="s">
        <v>438</v>
      </c>
      <c r="AE46" s="66"/>
      <c r="AF46" s="280"/>
      <c r="AG46" s="1664"/>
      <c r="AH46" s="1664"/>
      <c r="AI46" s="62"/>
      <c r="AJ46" s="62"/>
      <c r="AK46" s="62"/>
      <c r="AL46" s="62"/>
      <c r="AM46" s="62"/>
      <c r="AN46" s="62"/>
      <c r="AO46" s="62"/>
      <c r="AP46" s="280"/>
      <c r="AQ46" s="1664"/>
      <c r="AR46" s="1664"/>
      <c r="AS46" s="62"/>
      <c r="AT46" s="62"/>
      <c r="AU46" s="62"/>
      <c r="AV46" s="62"/>
      <c r="AW46" s="62"/>
      <c r="AX46" s="62"/>
      <c r="AY46" s="62"/>
      <c r="AZ46" s="60"/>
      <c r="BC46" s="1159" t="s">
        <v>480</v>
      </c>
    </row>
    <row s="1667"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337</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8" customFormat="1" customHeight="1" ht="16.5">
      <c r="A48" s="217"/>
      <c r="B48" s="217"/>
      <c r="C48" s="217"/>
      <c r="D48" s="217"/>
      <c r="E48" s="794">
        <v>17.1</v>
      </c>
      <c r="F48" s="920" cm="1" t="str">
        <f t="array" ref="F48:F48">OFFSET(G48,-1,-1)</f>
        <v>1</v>
      </c>
      <c r="G48" s="736" t="s">
        <v>430</v>
      </c>
      <c r="H48" s="210" t="s">
        <v>431</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432</v>
      </c>
      <c r="AD48" s="477" t="s">
        <v>433</v>
      </c>
      <c r="AE48" s="1669" cm="1" t="str">
        <f t="array" ref="AE48:AE48">AE49</f>
        <v>406</v>
      </c>
      <c r="AF48" s="209">
        <v>406</v>
      </c>
      <c r="AG48" s="1661" cm="1" t="str">
        <f t="array" ref="AG48:AG48">AG49</f>
        <v>0</v>
      </c>
      <c r="AH48" s="1661" cm="1" t="str">
        <f t="array" ref="AH48:AH48">AH49</f>
        <v>0</v>
      </c>
      <c r="AI48" s="1669" cm="1" t="str">
        <f t="array" ref="AI48:AI48">AI49</f>
        <v>0</v>
      </c>
      <c r="AJ48" s="1669" cm="1" t="str">
        <f t="array" ref="AJ48:AJ48">AJ49</f>
        <v>0</v>
      </c>
      <c r="AK48" s="1669" cm="1" t="str">
        <f t="array" ref="AK48:AK48">AK49</f>
        <v>0</v>
      </c>
      <c r="AL48" s="1669" cm="1" t="str">
        <f t="array" ref="AL48:AL48">AL49</f>
        <v>0</v>
      </c>
      <c r="AM48" s="1669" cm="1" t="str">
        <f t="array" ref="AM48:AM48">AM49</f>
        <v>0</v>
      </c>
      <c r="AN48" s="1669" cm="1" t="str">
        <f t="array" ref="AN48:AN48">AN49</f>
        <v>0</v>
      </c>
      <c r="AO48" s="1669" cm="1" t="str">
        <f t="array" ref="AO48:AO48">AO49</f>
        <v>0</v>
      </c>
      <c r="AP48" s="209">
        <v>406</v>
      </c>
      <c r="AQ48" s="1661" cm="1" t="str">
        <f t="array" ref="AQ48:AQ48">AQ49</f>
        <v>0</v>
      </c>
      <c r="AR48" s="1661" cm="1" t="str">
        <f t="array" ref="AR48:AR48">AR49</f>
        <v>0</v>
      </c>
      <c r="AS48" s="1669" cm="1" t="str">
        <f t="array" ref="AS48:AS48">AS49</f>
        <v>0</v>
      </c>
      <c r="AT48" s="1669" cm="1" t="str">
        <f t="array" ref="AT48:AT48">AT49</f>
        <v>0</v>
      </c>
      <c r="AU48" s="1669" cm="1" t="str">
        <f t="array" ref="AU48:AU48">AU49</f>
        <v>0</v>
      </c>
      <c r="AV48" s="1669" cm="1" t="str">
        <f t="array" ref="AV48:AV48">AV49</f>
        <v>0</v>
      </c>
      <c r="AW48" s="1669" cm="1" t="str">
        <f t="array" ref="AW48:AW48">AW49</f>
        <v>0</v>
      </c>
      <c r="AX48" s="1669" cm="1" t="str">
        <f t="array" ref="AX48:AX48">AX49</f>
        <v>0</v>
      </c>
      <c r="AY48" s="1669" cm="1" t="str">
        <f t="array" ref="AY48:AY48">AY49</f>
        <v>0</v>
      </c>
      <c r="AZ48" s="1671"/>
      <c r="BA48" s="217"/>
      <c r="BB48" s="217"/>
      <c r="BC48" s="1159" t="s">
        <v>434</v>
      </c>
    </row>
    <row s="1672" customFormat="1" customHeight="1" ht="16.5">
      <c r="A49" s="217"/>
      <c r="B49" s="217"/>
      <c r="C49" s="217"/>
      <c r="D49" s="217"/>
      <c r="E49" s="794">
        <v>17.1</v>
      </c>
      <c r="F49" s="920" cm="1" t="str">
        <f t="array" ref="F49:F49">OFFSET(G49,-1,-1)</f>
        <v>1</v>
      </c>
      <c r="G49" s="736" t="s">
        <v>435</v>
      </c>
      <c r="H49" s="210" t="s">
        <v>431</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436</v>
      </c>
      <c r="AC49" s="501" t="s">
        <v>437</v>
      </c>
      <c r="AD49" s="477" t="s">
        <v>438</v>
      </c>
      <c r="AE49" s="1669">
        <v>406</v>
      </c>
      <c r="AF49" s="209">
        <v>406</v>
      </c>
      <c r="AG49" s="1661"/>
      <c r="AH49" s="1661"/>
      <c r="AI49" s="1669"/>
      <c r="AJ49" s="1669"/>
      <c r="AK49" s="1669"/>
      <c r="AL49" s="1669"/>
      <c r="AM49" s="1669"/>
      <c r="AN49" s="1669"/>
      <c r="AO49" s="1669"/>
      <c r="AP49" s="209">
        <v>406</v>
      </c>
      <c r="AQ49" s="1661"/>
      <c r="AR49" s="1661"/>
      <c r="AS49" s="1669"/>
      <c r="AT49" s="1669"/>
      <c r="AU49" s="1669"/>
      <c r="AV49" s="1669"/>
      <c r="AW49" s="1669"/>
      <c r="AX49" s="1669"/>
      <c r="AY49" s="1669"/>
      <c r="AZ49" s="1671"/>
      <c r="BA49" s="217"/>
      <c r="BB49" s="217"/>
      <c r="BC49" s="1159" t="s">
        <v>439</v>
      </c>
    </row>
    <row s="1673" customFormat="1" customHeight="1" ht="16.5">
      <c r="A50" s="217"/>
      <c r="B50" s="217"/>
      <c r="C50" s="217"/>
      <c r="D50" s="217"/>
      <c r="E50" s="794">
        <v>17.1</v>
      </c>
      <c r="F50" s="920" cm="1" t="str">
        <f t="array" ref="F50:F50">OFFSET(G50,-1,-1)</f>
        <v>1</v>
      </c>
      <c r="G50" s="736" t="s">
        <v>430</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440</v>
      </c>
      <c r="AC50" s="599" t="s">
        <v>441</v>
      </c>
      <c r="AD50" s="477" t="s">
        <v>433</v>
      </c>
      <c r="AE50" s="1669">
        <f>AE51+5*AE64+25*AE65+0.5*AE66</f>
        <v>0</v>
      </c>
      <c r="AF50" s="209">
        <f>AF51+5*AF64+25*AF65+0.5*AF66</f>
        <v>0</v>
      </c>
      <c r="AG50" s="1661">
        <f>AG51+5*AG64+25*AG65+0.5*AG66</f>
        <v>0</v>
      </c>
      <c r="AH50" s="1661">
        <f>AH51+5*AH64+25*AH65+0.5*AH66</f>
        <v>0</v>
      </c>
      <c r="AI50" s="1669">
        <f>AI51+5*AI64+25*AI65+0.5*AI66</f>
        <v>0</v>
      </c>
      <c r="AJ50" s="1669">
        <f>AJ51+5*AJ64+25*AJ65+0.5*AJ66</f>
        <v>0</v>
      </c>
      <c r="AK50" s="1669">
        <f>AK51+5*AK64+25*AK65+0.5*AK66</f>
        <v>0</v>
      </c>
      <c r="AL50" s="1669">
        <f>AL51+5*AL64+25*AL65+0.5*AL66</f>
        <v>0</v>
      </c>
      <c r="AM50" s="1669">
        <f>AM51+5*AM64+25*AM65+0.5*AM66</f>
        <v>0</v>
      </c>
      <c r="AN50" s="1669">
        <f>AN51+5*AN64+25*AN65+0.5*AN66</f>
        <v>0</v>
      </c>
      <c r="AO50" s="1669">
        <f>AO51+5*AO64+25*AO65+0.5*AO66</f>
        <v>0</v>
      </c>
      <c r="AP50" s="209">
        <f>AP51+5*AP64+25*AP65+0.5*AP66</f>
        <v>0</v>
      </c>
      <c r="AQ50" s="1661">
        <f>AQ51+5*AQ64+25*AQ65+0.5*AQ66</f>
        <v>0</v>
      </c>
      <c r="AR50" s="1661">
        <f>AR51+5*AR64+25*AR65+0.5*AR66</f>
        <v>0</v>
      </c>
      <c r="AS50" s="1669">
        <f>AS51+5*AS64+25*AS65+0.5*AS66</f>
        <v>0</v>
      </c>
      <c r="AT50" s="1669">
        <f>AT51+5*AT64+25*AT65+0.5*AT66</f>
        <v>0</v>
      </c>
      <c r="AU50" s="1669">
        <f>AU51+5*AU64+25*AU65+0.5*AU66</f>
        <v>0</v>
      </c>
      <c r="AV50" s="1669">
        <f>AV51+5*AV64+25*AV65+0.5*AV66</f>
        <v>0</v>
      </c>
      <c r="AW50" s="1669">
        <f>AW51+5*AW64+25*AW65+0.5*AW66</f>
        <v>0</v>
      </c>
      <c r="AX50" s="1669">
        <f>AX51+5*AX64+25*AX65+0.5*AX66</f>
        <v>0</v>
      </c>
      <c r="AY50" s="1669">
        <f>AY51+5*AY64+25*AY65+0.5*AY66</f>
        <v>0</v>
      </c>
      <c r="AZ50" s="1671"/>
      <c r="BA50" s="217"/>
      <c r="BB50" s="217"/>
      <c r="BC50" s="1159" t="s">
        <v>442</v>
      </c>
    </row>
    <row s="1674"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443</v>
      </c>
      <c r="AC51" s="570" t="s">
        <v>444</v>
      </c>
      <c r="AD51" s="477" t="s">
        <v>433</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71"/>
      <c r="BA51" s="217"/>
      <c r="BB51" s="217"/>
      <c r="BC51" s="1159" t="s">
        <v>445</v>
      </c>
    </row>
    <row s="1675"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446</v>
      </c>
      <c r="AC52" s="579" t="s">
        <v>447</v>
      </c>
      <c r="AD52" s="477" t="s">
        <v>433</v>
      </c>
      <c r="AE52" s="1669">
        <f>0.75*(11*AE54+MAX(0.06*AE54*(AE53-100),0))</f>
        <v>0</v>
      </c>
      <c r="AF52" s="209">
        <f>0.75*(11*AF54+MAX(0.06*AF54*(AF53-100),0))</f>
        <v>0</v>
      </c>
      <c r="AG52" s="1661">
        <f>0.75*(11*AG54+MAX(0.06*AG54*(AG53-100),0))</f>
        <v>0</v>
      </c>
      <c r="AH52" s="1661">
        <f>0.75*(11*AH54+MAX(0.06*AH54*(AH53-100),0))</f>
        <v>0</v>
      </c>
      <c r="AI52" s="1669">
        <f>0.75*(11*AI54+MAX(0.06*AI54*(AI53-100),0))</f>
        <v>0</v>
      </c>
      <c r="AJ52" s="1669">
        <f>0.75*(11*AJ54+MAX(0.06*AJ54*(AJ53-100),0))</f>
        <v>0</v>
      </c>
      <c r="AK52" s="1669">
        <f>0.75*(11*AK54+MAX(0.06*AK54*(AK53-100),0))</f>
        <v>0</v>
      </c>
      <c r="AL52" s="1669">
        <f>0.75*(11*AL54+MAX(0.06*AL54*(AL53-100),0))</f>
        <v>0</v>
      </c>
      <c r="AM52" s="1669">
        <f>0.75*(11*AM54+MAX(0.06*AM54*(AM53-100),0))</f>
        <v>0</v>
      </c>
      <c r="AN52" s="1669">
        <f>0.75*(11*AN54+MAX(0.06*AN54*(AN53-100),0))</f>
        <v>0</v>
      </c>
      <c r="AO52" s="1669">
        <f>0.75*(11*AO54+MAX(0.06*AO54*(AO53-100),0))</f>
        <v>0</v>
      </c>
      <c r="AP52" s="209">
        <f>0.75*(11*AP54+MAX(0.06*AP54*(AP53-100),0))</f>
        <v>0</v>
      </c>
      <c r="AQ52" s="1661">
        <f>0.75*(11*AQ54+MAX(0.06*AQ54*(AQ53-100),0))</f>
        <v>0</v>
      </c>
      <c r="AR52" s="1661">
        <f>0.75*(11*AR54+MAX(0.06*AR54*(AR53-100),0))</f>
        <v>0</v>
      </c>
      <c r="AS52" s="1669">
        <f>0.75*(11*AS54+MAX(0.06*AS54*(AS53-100),0))</f>
        <v>0</v>
      </c>
      <c r="AT52" s="1669">
        <f>0.75*(11*AT54+MAX(0.06*AT54*(AT53-100),0))</f>
        <v>0</v>
      </c>
      <c r="AU52" s="1669">
        <f>0.75*(11*AU54+MAX(0.06*AU54*(AU53-100),0))</f>
        <v>0</v>
      </c>
      <c r="AV52" s="1669">
        <f>0.75*(11*AV54+MAX(0.06*AV54*(AV53-100),0))</f>
        <v>0</v>
      </c>
      <c r="AW52" s="1669">
        <f>0.75*(11*AW54+MAX(0.06*AW54*(AW53-100),0))</f>
        <v>0</v>
      </c>
      <c r="AX52" s="1669">
        <f>0.75*(11*AX54+MAX(0.06*AX54*(AX53-100),0))</f>
        <v>0</v>
      </c>
      <c r="AY52" s="1669">
        <f>0.75*(11*AY54+MAX(0.06*AY54*(AY53-100),0))</f>
        <v>0</v>
      </c>
      <c r="AZ52" s="1671"/>
      <c r="BA52" s="217"/>
      <c r="BB52" s="217"/>
      <c r="BC52" s="1159" t="s">
        <v>448</v>
      </c>
    </row>
    <row s="1676"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449</v>
      </c>
      <c r="AD53" s="170" t="s">
        <v>450</v>
      </c>
      <c r="AE53" s="1677"/>
      <c r="AF53" s="581"/>
      <c r="AG53" s="1663"/>
      <c r="AH53" s="1663"/>
      <c r="AI53" s="1677"/>
      <c r="AJ53" s="1677"/>
      <c r="AK53" s="1677"/>
      <c r="AL53" s="1677"/>
      <c r="AM53" s="1677"/>
      <c r="AN53" s="1677"/>
      <c r="AO53" s="1677"/>
      <c r="AP53" s="581"/>
      <c r="AQ53" s="1663"/>
      <c r="AR53" s="1663"/>
      <c r="AS53" s="1677"/>
      <c r="AT53" s="1677"/>
      <c r="AU53" s="1677"/>
      <c r="AV53" s="1677"/>
      <c r="AW53" s="1677"/>
      <c r="AX53" s="1677"/>
      <c r="AY53" s="1677"/>
      <c r="AZ53" s="1671"/>
      <c r="BA53" s="217"/>
      <c r="BB53" s="217"/>
      <c r="BC53" s="1159" t="s">
        <v>451</v>
      </c>
    </row>
    <row s="1679"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452</v>
      </c>
      <c r="AD54" s="577" t="s">
        <v>453</v>
      </c>
      <c r="AE54" s="1680"/>
      <c r="AF54" s="280"/>
      <c r="AG54" s="1664"/>
      <c r="AH54" s="1664"/>
      <c r="AI54" s="1680"/>
      <c r="AJ54" s="1680"/>
      <c r="AK54" s="1680"/>
      <c r="AL54" s="1680"/>
      <c r="AM54" s="1680"/>
      <c r="AN54" s="1680"/>
      <c r="AO54" s="1680"/>
      <c r="AP54" s="280"/>
      <c r="AQ54" s="1664"/>
      <c r="AR54" s="1664"/>
      <c r="AS54" s="1680"/>
      <c r="AT54" s="1680"/>
      <c r="AU54" s="1680"/>
      <c r="AV54" s="1680"/>
      <c r="AW54" s="1680"/>
      <c r="AX54" s="1680"/>
      <c r="AY54" s="1680"/>
      <c r="AZ54" s="1671"/>
      <c r="BA54" s="217"/>
      <c r="BB54" s="217"/>
      <c r="BC54" s="1159" t="s">
        <v>454</v>
      </c>
    </row>
    <row s="1682"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455</v>
      </c>
      <c r="AC55" s="559" t="s">
        <v>456</v>
      </c>
      <c r="AD55" s="477" t="s">
        <v>433</v>
      </c>
      <c r="AE55" s="1669">
        <f>(11*AE57+MAX(0.06*AE57*(AE56-100),0))</f>
        <v>0</v>
      </c>
      <c r="AF55" s="209">
        <f>(11*AF57+MAX(0.06*AF57*(AF56-100),0))</f>
        <v>0</v>
      </c>
      <c r="AG55" s="1661">
        <f>(11*AG57+MAX(0.06*AG57*(AG56-100),0))</f>
        <v>0</v>
      </c>
      <c r="AH55" s="1661">
        <f>(11*AH57+MAX(0.06*AH57*(AH56-100),0))</f>
        <v>0</v>
      </c>
      <c r="AI55" s="1669">
        <f>(11*AI57+MAX(0.06*AI57*(AI56-100),0))</f>
        <v>0</v>
      </c>
      <c r="AJ55" s="1669">
        <f>(11*AJ57+MAX(0.06*AJ57*(AJ56-100),0))</f>
        <v>0</v>
      </c>
      <c r="AK55" s="1669">
        <f>(11*AK57+MAX(0.06*AK57*(AK56-100),0))</f>
        <v>0</v>
      </c>
      <c r="AL55" s="1669">
        <f>(11*AL57+MAX(0.06*AL57*(AL56-100),0))</f>
        <v>0</v>
      </c>
      <c r="AM55" s="1669">
        <f>(11*AM57+MAX(0.06*AM57*(AM56-100),0))</f>
        <v>0</v>
      </c>
      <c r="AN55" s="1669">
        <f>(11*AN57+MAX(0.06*AN57*(AN56-100),0))</f>
        <v>0</v>
      </c>
      <c r="AO55" s="1669">
        <f>(11*AO57+MAX(0.06*AO57*(AO56-100),0))</f>
        <v>0</v>
      </c>
      <c r="AP55" s="209">
        <f>(11*AP57+MAX(0.06*AP57*(AP56-100),0))</f>
        <v>0</v>
      </c>
      <c r="AQ55" s="1661">
        <f>(11*AQ57+MAX(0.06*AQ57*(AQ56-100),0))</f>
        <v>0</v>
      </c>
      <c r="AR55" s="1661">
        <f>(11*AR57+MAX(0.06*AR57*(AR56-100),0))</f>
        <v>0</v>
      </c>
      <c r="AS55" s="1669">
        <f>(11*AS57+MAX(0.06*AS57*(AS56-100),0))</f>
        <v>0</v>
      </c>
      <c r="AT55" s="1669">
        <f>(11*AT57+MAX(0.06*AT57*(AT56-100),0))</f>
        <v>0</v>
      </c>
      <c r="AU55" s="1669">
        <f>(11*AU57+MAX(0.06*AU57*(AU56-100),0))</f>
        <v>0</v>
      </c>
      <c r="AV55" s="1669">
        <f>(11*AV57+MAX(0.06*AV57*(AV56-100),0))</f>
        <v>0</v>
      </c>
      <c r="AW55" s="1669">
        <f>(11*AW57+MAX(0.06*AW57*(AW56-100),0))</f>
        <v>0</v>
      </c>
      <c r="AX55" s="1669">
        <f>(11*AX57+MAX(0.06*AX57*(AX56-100),0))</f>
        <v>0</v>
      </c>
      <c r="AY55" s="1669">
        <f>(11*AY57+MAX(0.06*AY57*(AY56-100),0))</f>
        <v>0</v>
      </c>
      <c r="AZ55" s="1671"/>
      <c r="BA55" s="217"/>
      <c r="BB55" s="217"/>
      <c r="BC55" s="1159" t="s">
        <v>457</v>
      </c>
    </row>
    <row s="1683"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449</v>
      </c>
      <c r="AD56" s="670" t="s">
        <v>450</v>
      </c>
      <c r="AE56" s="1684"/>
      <c r="AF56" s="280"/>
      <c r="AG56" s="1664"/>
      <c r="AH56" s="1664"/>
      <c r="AI56" s="1680"/>
      <c r="AJ56" s="1680"/>
      <c r="AK56" s="1680"/>
      <c r="AL56" s="1680"/>
      <c r="AM56" s="1680"/>
      <c r="AN56" s="1680"/>
      <c r="AO56" s="1680"/>
      <c r="AP56" s="280"/>
      <c r="AQ56" s="1664"/>
      <c r="AR56" s="1664"/>
      <c r="AS56" s="1680"/>
      <c r="AT56" s="1680"/>
      <c r="AU56" s="1680"/>
      <c r="AV56" s="1680"/>
      <c r="AW56" s="1680"/>
      <c r="AX56" s="1680"/>
      <c r="AY56" s="1680"/>
      <c r="AZ56" s="1671"/>
      <c r="BA56" s="217"/>
      <c r="BB56" s="217"/>
      <c r="BC56" s="1159" t="s">
        <v>458</v>
      </c>
    </row>
    <row s="1685"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452</v>
      </c>
      <c r="AD57" s="170" t="s">
        <v>453</v>
      </c>
      <c r="AE57" s="1680"/>
      <c r="AF57" s="583"/>
      <c r="AG57" s="1664"/>
      <c r="AH57" s="1664"/>
      <c r="AI57" s="1680"/>
      <c r="AJ57" s="1680"/>
      <c r="AK57" s="1680"/>
      <c r="AL57" s="1680"/>
      <c r="AM57" s="1680"/>
      <c r="AN57" s="1680"/>
      <c r="AO57" s="1680"/>
      <c r="AP57" s="280"/>
      <c r="AQ57" s="1664"/>
      <c r="AR57" s="1664"/>
      <c r="AS57" s="1680"/>
      <c r="AT57" s="1680"/>
      <c r="AU57" s="1680"/>
      <c r="AV57" s="1680"/>
      <c r="AW57" s="1680"/>
      <c r="AX57" s="1680"/>
      <c r="AY57" s="1680"/>
      <c r="AZ57" s="1671"/>
      <c r="BA57" s="217"/>
      <c r="BB57" s="217"/>
      <c r="BC57" s="1159" t="s">
        <v>459</v>
      </c>
    </row>
    <row s="1687"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460</v>
      </c>
      <c r="AC58" s="719" t="s">
        <v>461</v>
      </c>
      <c r="AD58" s="285" t="s">
        <v>433</v>
      </c>
      <c r="AE58" s="1680">
        <f>1.25*(11*AE60+MAX(0.06*AE60*(AE59-100),0))</f>
        <v>0</v>
      </c>
      <c r="AF58" s="723">
        <f>1.25*(11*AF60+MAX(0.06*AF60*(AF59-100),0))</f>
        <v>0</v>
      </c>
      <c r="AG58" s="1661">
        <f>1.25*(11*AG60+MAX(0.06*AG60*(AG59-100),0))</f>
        <v>0</v>
      </c>
      <c r="AH58" s="1661">
        <f>1.25*(11*AH60+MAX(0.06*AH60*(AH59-100),0))</f>
        <v>0</v>
      </c>
      <c r="AI58" s="1669">
        <f>1.25*(11*AI60+MAX(0.06*AI60*(AI59-100),0))</f>
        <v>0</v>
      </c>
      <c r="AJ58" s="1669">
        <f>1.25*(11*AJ60+MAX(0.06*AJ60*(AJ59-100),0))</f>
        <v>0</v>
      </c>
      <c r="AK58" s="1669">
        <f>1.25*(11*AK60+MAX(0.06*AK60*(AK59-100),0))</f>
        <v>0</v>
      </c>
      <c r="AL58" s="1669">
        <f>1.25*(11*AL60+MAX(0.06*AL60*(AL59-100),0))</f>
        <v>0</v>
      </c>
      <c r="AM58" s="1669">
        <f>1.25*(11*AM60+MAX(0.06*AM60*(AM59-100),0))</f>
        <v>0</v>
      </c>
      <c r="AN58" s="1669">
        <f>1.25*(11*AN60+MAX(0.06*AN60*(AN59-100),0))</f>
        <v>0</v>
      </c>
      <c r="AO58" s="1669">
        <f>1.25*(11*AO60+MAX(0.06*AO60*(AO59-100),0))</f>
        <v>0</v>
      </c>
      <c r="AP58" s="209">
        <f>1.25*(11*AP60+MAX(0.06*AP60*(AP59-100),0))</f>
        <v>0</v>
      </c>
      <c r="AQ58" s="1661">
        <f>1.25*(11*AQ60+MAX(0.06*AQ60*(AQ59-100),0))</f>
        <v>0</v>
      </c>
      <c r="AR58" s="1661">
        <f>1.25*(11*AR60+MAX(0.06*AR60*(AR59-100),0))</f>
        <v>0</v>
      </c>
      <c r="AS58" s="1669">
        <f>1.25*(11*AS60+MAX(0.06*AS60*(AS59-100),0))</f>
        <v>0</v>
      </c>
      <c r="AT58" s="1669">
        <f>1.25*(11*AT60+MAX(0.06*AT60*(AT59-100),0))</f>
        <v>0</v>
      </c>
      <c r="AU58" s="1669">
        <f>1.25*(11*AU60+MAX(0.06*AU60*(AU59-100),0))</f>
        <v>0</v>
      </c>
      <c r="AV58" s="1669">
        <f>1.25*(11*AV60+MAX(0.06*AV60*(AV59-100),0))</f>
        <v>0</v>
      </c>
      <c r="AW58" s="1669">
        <f>1.25*(11*AW60+MAX(0.06*AW60*(AW59-100),0))</f>
        <v>0</v>
      </c>
      <c r="AX58" s="1669">
        <f>1.25*(11*AX60+MAX(0.06*AX60*(AX59-100),0))</f>
        <v>0</v>
      </c>
      <c r="AY58" s="1669">
        <f>1.25*(11*AY60+MAX(0.06*AY60*(AY59-100),0))</f>
        <v>0</v>
      </c>
      <c r="AZ58" s="1671"/>
      <c r="BA58" s="217"/>
      <c r="BB58" s="217"/>
      <c r="BC58" s="1159" t="s">
        <v>462</v>
      </c>
    </row>
    <row s="1689"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449</v>
      </c>
      <c r="AD59" s="170" t="s">
        <v>450</v>
      </c>
      <c r="AE59" s="1680"/>
      <c r="AF59" s="582"/>
      <c r="AG59" s="1665"/>
      <c r="AH59" s="1665"/>
      <c r="AI59" s="1691"/>
      <c r="AJ59" s="1691"/>
      <c r="AK59" s="1691"/>
      <c r="AL59" s="1691"/>
      <c r="AM59" s="1691"/>
      <c r="AN59" s="1691"/>
      <c r="AO59" s="1691"/>
      <c r="AP59" s="582"/>
      <c r="AQ59" s="1665"/>
      <c r="AR59" s="1665"/>
      <c r="AS59" s="1691"/>
      <c r="AT59" s="1691"/>
      <c r="AU59" s="1691"/>
      <c r="AV59" s="1691"/>
      <c r="AW59" s="1691"/>
      <c r="AX59" s="1691"/>
      <c r="AY59" s="1691"/>
      <c r="AZ59" s="1671"/>
      <c r="BA59" s="217"/>
      <c r="BB59" s="217"/>
      <c r="BC59" s="1159" t="s">
        <v>463</v>
      </c>
    </row>
    <row s="1692"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452</v>
      </c>
      <c r="AD60" s="170" t="s">
        <v>453</v>
      </c>
      <c r="AE60" s="1680"/>
      <c r="AF60" s="583"/>
      <c r="AG60" s="1666"/>
      <c r="AH60" s="1666"/>
      <c r="AI60" s="1693"/>
      <c r="AJ60" s="1693"/>
      <c r="AK60" s="1693"/>
      <c r="AL60" s="1693"/>
      <c r="AM60" s="1693"/>
      <c r="AN60" s="1693"/>
      <c r="AO60" s="1693"/>
      <c r="AP60" s="583"/>
      <c r="AQ60" s="1666"/>
      <c r="AR60" s="1666"/>
      <c r="AS60" s="1693"/>
      <c r="AT60" s="1693"/>
      <c r="AU60" s="1693"/>
      <c r="AV60" s="1693"/>
      <c r="AW60" s="1693"/>
      <c r="AX60" s="1693"/>
      <c r="AY60" s="1693"/>
      <c r="AZ60" s="1671"/>
      <c r="BA60" s="217"/>
      <c r="BB60" s="217"/>
      <c r="BC60" s="1159" t="s">
        <v>464</v>
      </c>
    </row>
    <row s="1694" customFormat="1" customHeight="1" ht="16.5">
      <c r="A61" s="217"/>
      <c r="B61" s="217"/>
      <c r="C61" s="217"/>
      <c r="D61" s="217"/>
      <c r="E61" s="794">
        <v>17.1</v>
      </c>
      <c r="F61" s="920" cm="1" t="str">
        <f t="array" ref="F61:F61">OFFSET(G61,-1,-1)</f>
        <v>1</v>
      </c>
      <c r="G61" s="217"/>
      <c r="H61" s="210" t="s">
        <v>431</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465</v>
      </c>
      <c r="AC61" s="719" t="s">
        <v>466</v>
      </c>
      <c r="AD61" s="285" t="s">
        <v>433</v>
      </c>
      <c r="AE61" s="1680">
        <f>1.5*(11*AE63+MAX(0.06*AE63*(AE62-100),0))</f>
        <v>0</v>
      </c>
      <c r="AF61" s="723">
        <f>1.5*(11*AF63+MAX(0.06*AF63*(AF62-100),0))</f>
        <v>0</v>
      </c>
      <c r="AG61" s="1661">
        <f>1.5*(11*AG63+MAX(0.06*AG63*(AG62-100),0))</f>
        <v>0</v>
      </c>
      <c r="AH61" s="1661">
        <f>1.5*(11*AH63+MAX(0.06*AH63*(AH62-100),0))</f>
        <v>0</v>
      </c>
      <c r="AI61" s="1669">
        <f>1.5*(11*AI63+MAX(0.06*AI63*(AI62-100),0))</f>
        <v>0</v>
      </c>
      <c r="AJ61" s="1669">
        <f>1.5*(11*AJ63+MAX(0.06*AJ63*(AJ62-100),0))</f>
        <v>0</v>
      </c>
      <c r="AK61" s="1669">
        <f>1.5*(11*AK63+MAX(0.06*AK63*(AK62-100),0))</f>
        <v>0</v>
      </c>
      <c r="AL61" s="1669">
        <f>1.5*(11*AL63+MAX(0.06*AL63*(AL62-100),0))</f>
        <v>0</v>
      </c>
      <c r="AM61" s="1669">
        <f>1.5*(11*AM63+MAX(0.06*AM63*(AM62-100),0))</f>
        <v>0</v>
      </c>
      <c r="AN61" s="1669">
        <f>1.5*(11*AN63+MAX(0.06*AN63*(AN62-100),0))</f>
        <v>0</v>
      </c>
      <c r="AO61" s="1669">
        <f>1.5*(11*AO63+MAX(0.06*AO63*(AO62-100),0))</f>
        <v>0</v>
      </c>
      <c r="AP61" s="209">
        <f>1.5*(11*AP63+MAX(0.06*AP63*(AP62-100),0))</f>
        <v>0</v>
      </c>
      <c r="AQ61" s="1661">
        <f>1.5*(11*AQ63+MAX(0.06*AQ63*(AQ62-100),0))</f>
        <v>0</v>
      </c>
      <c r="AR61" s="1661">
        <f>1.5*(11*AR63+MAX(0.06*AR63*(AR62-100),0))</f>
        <v>0</v>
      </c>
      <c r="AS61" s="1669">
        <f>1.5*(11*AS63+MAX(0.06*AS63*(AS62-100),0))</f>
        <v>0</v>
      </c>
      <c r="AT61" s="1669">
        <f>1.5*(11*AT63+MAX(0.06*AT63*(AT62-100),0))</f>
        <v>0</v>
      </c>
      <c r="AU61" s="1669">
        <f>1.5*(11*AU63+MAX(0.06*AU63*(AU62-100),0))</f>
        <v>0</v>
      </c>
      <c r="AV61" s="1669">
        <f>1.5*(11*AV63+MAX(0.06*AV63*(AV62-100),0))</f>
        <v>0</v>
      </c>
      <c r="AW61" s="1669">
        <f>1.5*(11*AW63+MAX(0.06*AW63*(AW62-100),0))</f>
        <v>0</v>
      </c>
      <c r="AX61" s="1669">
        <f>1.5*(11*AX63+MAX(0.06*AX63*(AX62-100),0))</f>
        <v>0</v>
      </c>
      <c r="AY61" s="1669">
        <f>1.5*(11*AY63+MAX(0.06*AY63*(AY62-100),0))</f>
        <v>0</v>
      </c>
      <c r="AZ61" s="1671"/>
      <c r="BA61" s="217"/>
      <c r="BB61" s="217"/>
      <c r="BC61" s="1159" t="s">
        <v>467</v>
      </c>
    </row>
    <row s="1695"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449</v>
      </c>
      <c r="AD62" s="170" t="s">
        <v>450</v>
      </c>
      <c r="AE62" s="1680"/>
      <c r="AF62" s="583"/>
      <c r="AG62" s="1666"/>
      <c r="AH62" s="1666"/>
      <c r="AI62" s="1693"/>
      <c r="AJ62" s="1693"/>
      <c r="AK62" s="1693"/>
      <c r="AL62" s="1693"/>
      <c r="AM62" s="1693"/>
      <c r="AN62" s="1693"/>
      <c r="AO62" s="1693"/>
      <c r="AP62" s="583"/>
      <c r="AQ62" s="1666"/>
      <c r="AR62" s="1666"/>
      <c r="AS62" s="1693"/>
      <c r="AT62" s="1693"/>
      <c r="AU62" s="1693"/>
      <c r="AV62" s="1693"/>
      <c r="AW62" s="1693"/>
      <c r="AX62" s="1693"/>
      <c r="AY62" s="1693"/>
      <c r="AZ62" s="1671"/>
      <c r="BA62" s="217"/>
      <c r="BB62" s="217"/>
      <c r="BC62" s="1159" t="s">
        <v>468</v>
      </c>
    </row>
    <row s="1696"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452</v>
      </c>
      <c r="AD63" s="170" t="s">
        <v>453</v>
      </c>
      <c r="AE63" s="1680"/>
      <c r="AF63" s="583"/>
      <c r="AG63" s="1666"/>
      <c r="AH63" s="1666"/>
      <c r="AI63" s="1693"/>
      <c r="AJ63" s="1693"/>
      <c r="AK63" s="1693"/>
      <c r="AL63" s="1693"/>
      <c r="AM63" s="1693"/>
      <c r="AN63" s="1693"/>
      <c r="AO63" s="1693"/>
      <c r="AP63" s="583"/>
      <c r="AQ63" s="1666"/>
      <c r="AR63" s="1666"/>
      <c r="AS63" s="1693"/>
      <c r="AT63" s="1693"/>
      <c r="AU63" s="1693"/>
      <c r="AV63" s="1693"/>
      <c r="AW63" s="1693"/>
      <c r="AX63" s="1693"/>
      <c r="AY63" s="1693"/>
      <c r="AZ63" s="1671"/>
      <c r="BA63" s="217"/>
      <c r="BB63" s="217"/>
      <c r="BC63" s="1159" t="s">
        <v>469</v>
      </c>
    </row>
    <row s="1697"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470</v>
      </c>
      <c r="AC64" s="720" t="s">
        <v>471</v>
      </c>
      <c r="AD64" s="170" t="s">
        <v>472</v>
      </c>
      <c r="AE64" s="1680"/>
      <c r="AF64" s="583"/>
      <c r="AG64" s="1664"/>
      <c r="AH64" s="1664"/>
      <c r="AI64" s="1680"/>
      <c r="AJ64" s="1680"/>
      <c r="AK64" s="1680"/>
      <c r="AL64" s="1680"/>
      <c r="AM64" s="1680"/>
      <c r="AN64" s="1680"/>
      <c r="AO64" s="1680"/>
      <c r="AP64" s="280"/>
      <c r="AQ64" s="1664"/>
      <c r="AR64" s="1664"/>
      <c r="AS64" s="1680"/>
      <c r="AT64" s="1680"/>
      <c r="AU64" s="1680"/>
      <c r="AV64" s="1680"/>
      <c r="AW64" s="1680"/>
      <c r="AX64" s="1680"/>
      <c r="AY64" s="1680"/>
      <c r="AZ64" s="1671"/>
      <c r="BA64" s="217"/>
      <c r="BB64" s="217"/>
      <c r="BC64" s="1159" t="s">
        <v>473</v>
      </c>
    </row>
    <row s="1698"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474</v>
      </c>
      <c r="AC65" s="721" t="s">
        <v>475</v>
      </c>
      <c r="AD65" s="170" t="s">
        <v>476</v>
      </c>
      <c r="AE65" s="1680"/>
      <c r="AF65" s="583"/>
      <c r="AG65" s="1664"/>
      <c r="AH65" s="1664"/>
      <c r="AI65" s="1680"/>
      <c r="AJ65" s="1680"/>
      <c r="AK65" s="1680"/>
      <c r="AL65" s="1680"/>
      <c r="AM65" s="1680"/>
      <c r="AN65" s="1680"/>
      <c r="AO65" s="1680"/>
      <c r="AP65" s="280"/>
      <c r="AQ65" s="1664"/>
      <c r="AR65" s="1664"/>
      <c r="AS65" s="1680"/>
      <c r="AT65" s="1680"/>
      <c r="AU65" s="1680"/>
      <c r="AV65" s="1680"/>
      <c r="AW65" s="1680"/>
      <c r="AX65" s="1680"/>
      <c r="AY65" s="1680"/>
      <c r="AZ65" s="1671"/>
      <c r="BA65" s="217"/>
      <c r="BB65" s="217"/>
      <c r="BC65" s="1159" t="s">
        <v>477</v>
      </c>
    </row>
    <row s="1699" customFormat="1" customHeight="1" ht="48">
      <c r="A66" s="217"/>
      <c r="B66" s="217"/>
      <c r="C66" s="217"/>
      <c r="D66" s="217"/>
      <c r="E66" s="794">
        <v>49.5</v>
      </c>
      <c r="F66" s="920" cm="1" t="str">
        <f t="array" ref="F66:F66">OFFSET(G66,-1,-1)</f>
        <v>1</v>
      </c>
      <c r="G66" s="217"/>
      <c r="H66" s="210" t="s">
        <v>431</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478</v>
      </c>
      <c r="AC66" s="161" t="s">
        <v>479</v>
      </c>
      <c r="AD66" s="555" t="s">
        <v>438</v>
      </c>
      <c r="AE66" s="1700"/>
      <c r="AF66" s="280"/>
      <c r="AG66" s="1664"/>
      <c r="AH66" s="1664"/>
      <c r="AI66" s="1680"/>
      <c r="AJ66" s="1680"/>
      <c r="AK66" s="1680"/>
      <c r="AL66" s="1680"/>
      <c r="AM66" s="1680"/>
      <c r="AN66" s="1680"/>
      <c r="AO66" s="1680"/>
      <c r="AP66" s="280"/>
      <c r="AQ66" s="1664"/>
      <c r="AR66" s="1664"/>
      <c r="AS66" s="1680"/>
      <c r="AT66" s="1680"/>
      <c r="AU66" s="1680"/>
      <c r="AV66" s="1680"/>
      <c r="AW66" s="1680"/>
      <c r="AX66" s="1680"/>
      <c r="AY66" s="1680"/>
      <c r="AZ66" s="1671"/>
      <c r="BA66" s="217"/>
      <c r="BB66" s="217"/>
      <c r="BC66" s="1159" t="s">
        <v>480</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237</v>
      </c>
      <c r="W67" s="168" t="s">
        <v>481</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32F8C-9D9C-8BBD-CE68-F4EB23099688}" mc:Ignorable="x14ac xr xr2 xr3">
  <sheetPr>
    <tabColor theme="3" tint="0.6"/>
    <outlinePr summaryRight="0" summaryBelow="0"/>
    <pageSetUpPr fitToPage="1"/>
  </sheetPr>
  <dimension ref="A1:BE83"/>
  <sheetViews>
    <sheetView showGridLines="0" workbookViewId="0">
      <pane xSplit="30" ySplit="25" topLeftCell="AE58" activePane="bottomRight" state="frozen"/>
      <selection pane="bottomLeft" activeCell="A26" sqref="A26"/>
      <selection pane="topRight" activeCell="AE1" sqref="AE1"/>
      <selection pane="bottomRight" activeCell="AO62" sqref="AO62"/>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371</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372</v>
      </c>
      <c r="BB1" s="1159" t="s">
        <v>373</v>
      </c>
      <c r="BC1" s="1159" t="s">
        <v>374</v>
      </c>
      <c r="BD1" s="1163" t="s">
        <v>377</v>
      </c>
      <c r="BE1" s="1163" t="s">
        <v>378</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424</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425</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383</v>
      </c>
      <c r="B11" s="1152"/>
      <c r="E11" s="1152"/>
      <c r="Q11" s="1161"/>
      <c r="R11" s="1161"/>
      <c r="AB11" s="1150"/>
      <c r="AC11" s="1162" t="s">
        <v>374</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482</v>
      </c>
      <c r="B18" s="785"/>
      <c r="E18" s="794"/>
      <c r="Q18" s="920"/>
      <c r="R18" s="920"/>
      <c r="AB18" s="176"/>
      <c r="AC18" s="168" t="s">
        <v>483</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Ульяновская область / 2026 / ООО "НИИАР-ГЕНЕРАЦИЯ" (ИНН:7329008990, КПП:732901001)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385</v>
      </c>
      <c r="AC24" s="1441" t="s">
        <v>483</v>
      </c>
      <c r="AD24" s="1443" t="s">
        <v>428</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402</v>
      </c>
      <c r="AF25" s="1357" t="s">
        <v>402</v>
      </c>
      <c r="AG25" s="1356" t="s">
        <v>402</v>
      </c>
      <c r="AH25" s="1356" t="s">
        <v>402</v>
      </c>
      <c r="AI25" s="1356" t="s">
        <v>402</v>
      </c>
      <c r="AJ25" s="1356" t="s">
        <v>402</v>
      </c>
      <c r="AK25" s="1356" t="s">
        <v>402</v>
      </c>
      <c r="AL25" s="1356" t="s">
        <v>402</v>
      </c>
      <c r="AM25" s="1356" t="s">
        <v>402</v>
      </c>
      <c r="AN25" s="1356" t="s">
        <v>402</v>
      </c>
      <c r="AO25" s="166" t="s">
        <v>401</v>
      </c>
      <c r="AP25" s="166" t="s">
        <v>401</v>
      </c>
      <c r="AQ25" s="166" t="s">
        <v>401</v>
      </c>
      <c r="AR25" s="166" t="s">
        <v>401</v>
      </c>
      <c r="AS25" s="166" t="s">
        <v>401</v>
      </c>
      <c r="AT25" s="166" t="s">
        <v>401</v>
      </c>
      <c r="AU25" s="166" t="s">
        <v>401</v>
      </c>
      <c r="AV25" s="166" t="s">
        <v>401</v>
      </c>
      <c r="AW25" s="166" t="s">
        <v>401</v>
      </c>
      <c r="AX25" s="166" t="s">
        <v>401</v>
      </c>
    </row>
    <row customHeight="1" ht="23.400000000000002">
      <c r="E26" s="794">
        <v>24</v>
      </c>
      <c r="AB26" s="154"/>
      <c r="AC26" s="832" t="s">
        <v>484</v>
      </c>
      <c r="AD26" s="206" t="s">
        <v>485</v>
      </c>
      <c r="AE26" s="1124"/>
      <c r="AF26" s="1707"/>
      <c r="AG26" s="1707"/>
      <c r="AH26" s="1707"/>
      <c r="AI26" s="1707"/>
      <c r="AJ26" s="1707"/>
      <c r="AK26" s="1707"/>
      <c r="AL26" s="1707"/>
      <c r="AM26" s="1707"/>
      <c r="AN26" s="1707"/>
      <c r="AO26" s="1124"/>
      <c r="AP26" s="1707"/>
      <c r="AQ26" s="1707"/>
      <c r="AR26" s="1707"/>
      <c r="AS26" s="1707"/>
      <c r="AT26" s="1707"/>
      <c r="AU26" s="1707"/>
      <c r="AV26" s="1707"/>
      <c r="AW26" s="1707"/>
      <c r="AX26" s="1707"/>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311</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486</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487</v>
      </c>
      <c r="H30" s="172" t="s">
        <v>488</v>
      </c>
      <c r="U30" s="1057">
        <f>AND(F30&gt;0,method_reg&lt;&gt;"Метод экономически обоснованных расходов")</f>
        <v>0</v>
      </c>
      <c r="AB30" s="203">
        <v>1</v>
      </c>
      <c r="AC30" s="204" t="s">
        <v>489</v>
      </c>
      <c r="AD30" s="206" t="s">
        <v>485</v>
      </c>
      <c r="AE30" s="67">
        <v>1</v>
      </c>
      <c r="AF30" s="1710">
        <v>1</v>
      </c>
      <c r="AG30" s="1710">
        <v>1</v>
      </c>
      <c r="AH30" s="67">
        <v>1</v>
      </c>
      <c r="AI30" s="67">
        <v>1</v>
      </c>
      <c r="AJ30" s="67">
        <v>1</v>
      </c>
      <c r="AK30" s="67">
        <v>1</v>
      </c>
      <c r="AL30" s="67">
        <v>1</v>
      </c>
      <c r="AM30" s="67">
        <v>1</v>
      </c>
      <c r="AN30" s="67">
        <v>1</v>
      </c>
      <c r="AO30" s="366">
        <v>1</v>
      </c>
      <c r="AP30" s="1710">
        <v>1</v>
      </c>
      <c r="AQ30" s="1710">
        <v>1</v>
      </c>
      <c r="AR30" s="67">
        <v>1</v>
      </c>
      <c r="AS30" s="67">
        <v>1</v>
      </c>
      <c r="AT30" s="67">
        <v>1</v>
      </c>
      <c r="AU30" s="67">
        <v>1</v>
      </c>
      <c r="AV30" s="67">
        <v>1</v>
      </c>
      <c r="AW30" s="67">
        <v>1</v>
      </c>
      <c r="AX30" s="67">
        <v>1</v>
      </c>
      <c r="BA30" s="1159" t="s">
        <v>490</v>
      </c>
    </row>
    <row customHeight="1" ht="29.25" hidden="1">
      <c r="E31" s="794">
        <v>30</v>
      </c>
      <c r="F31" s="920" cm="1" t="str">
        <f t="array" ref="F31:F31">OFFSET(G31,-1,-1)</f>
        <v>0</v>
      </c>
      <c r="H31" s="172" t="s">
        <v>491</v>
      </c>
      <c r="U31" s="1057">
        <f>AND(F31&gt;0,method_reg&lt;&gt;"Метод экономически обоснованных расходов")</f>
        <v>0</v>
      </c>
      <c r="AB31" s="835" t="s">
        <v>440</v>
      </c>
      <c r="AC31" s="836" t="s">
        <v>492</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235</v>
      </c>
      <c r="AA33" s="915" t="s">
        <v>219</v>
      </c>
      <c r="AB33" s="893" t="s">
        <v>493</v>
      </c>
      <c r="AC33" s="69"/>
      <c r="AD33" s="894" t="s">
        <v>485</v>
      </c>
      <c r="AE33" s="70"/>
      <c r="AF33" s="1711"/>
      <c r="AG33" s="1711"/>
      <c r="AH33" s="70"/>
      <c r="AI33" s="70"/>
      <c r="AJ33" s="70"/>
      <c r="AK33" s="70"/>
      <c r="AL33" s="70"/>
      <c r="AM33" s="70"/>
      <c r="AN33" s="70"/>
      <c r="AO33" s="1125"/>
      <c r="AP33" s="1711"/>
      <c r="AQ33" s="1711"/>
      <c r="AR33" s="70"/>
      <c r="AS33" s="70"/>
      <c r="AT33" s="70"/>
      <c r="AU33" s="70"/>
      <c r="AV33" s="70"/>
      <c r="AW33" s="70"/>
      <c r="AX33" s="70"/>
      <c r="BA33" s="1159" t="s">
        <v>494</v>
      </c>
      <c r="BB33" s="1159" t="s">
        <v>495</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496</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495</v>
      </c>
    </row>
    <row customHeight="1" ht="16.672500000000003" hidden="1">
      <c r="E35" s="794">
        <v>17.1</v>
      </c>
      <c r="F35" s="920" cm="1" t="str">
        <f t="array" ref="F35:F35">OFFSET(G35,-1,-1)</f>
        <v>0</v>
      </c>
      <c r="G35" s="920" t="s">
        <v>497</v>
      </c>
      <c r="H35" s="172" t="s">
        <v>498</v>
      </c>
      <c r="U35" s="921">
        <f>F35&gt;0</f>
        <v>0</v>
      </c>
      <c r="AB35" s="895">
        <v>3</v>
      </c>
      <c r="AC35" s="896" t="s">
        <v>499</v>
      </c>
      <c r="AD35" s="897" t="s">
        <v>485</v>
      </c>
      <c r="AE35" s="71"/>
      <c r="AF35" s="1707"/>
      <c r="AG35" s="1707"/>
      <c r="AH35" s="71"/>
      <c r="AI35" s="71"/>
      <c r="AJ35" s="71"/>
      <c r="AK35" s="71"/>
      <c r="AL35" s="71"/>
      <c r="AM35" s="71"/>
      <c r="AN35" s="71"/>
      <c r="AO35" s="1124"/>
      <c r="AP35" s="1707"/>
      <c r="AQ35" s="1707"/>
      <c r="AR35" s="71"/>
      <c r="AS35" s="71"/>
      <c r="AT35" s="71"/>
      <c r="AU35" s="71"/>
      <c r="AV35" s="71"/>
      <c r="AW35" s="71"/>
      <c r="AX35" s="71"/>
      <c r="BA35" s="1159" t="s">
        <v>500</v>
      </c>
    </row>
    <row customHeight="1" ht="16.672500000000003" hidden="1">
      <c r="E36" s="794">
        <v>17.1</v>
      </c>
      <c r="F36" s="920" cm="1" t="str">
        <f t="array" ref="F36:F36">OFFSET(G36,-1,-1)</f>
        <v>0</v>
      </c>
      <c r="H36" s="172" t="s">
        <v>501</v>
      </c>
      <c r="U36" s="921">
        <f>F36&gt;0</f>
        <v>0</v>
      </c>
      <c r="AB36" s="833">
        <v>4</v>
      </c>
      <c r="AC36" s="840" t="s">
        <v>502</v>
      </c>
      <c r="AD36" s="841" t="s">
        <v>485</v>
      </c>
      <c r="AE36" s="67"/>
      <c r="AF36" s="1710"/>
      <c r="AG36" s="1710"/>
      <c r="AH36" s="67"/>
      <c r="AI36" s="67"/>
      <c r="AJ36" s="67"/>
      <c r="AK36" s="67"/>
      <c r="AL36" s="67"/>
      <c r="AM36" s="67"/>
      <c r="AN36" s="67"/>
      <c r="AO36" s="366"/>
      <c r="AP36" s="1710"/>
      <c r="AQ36" s="1710"/>
      <c r="AR36" s="67"/>
      <c r="AS36" s="67"/>
      <c r="AT36" s="67"/>
      <c r="AU36" s="67"/>
      <c r="AV36" s="67"/>
      <c r="AW36" s="67"/>
      <c r="AX36" s="67"/>
      <c r="BA36" s="1159" t="s">
        <v>503</v>
      </c>
    </row>
    <row customHeight="1" ht="29.25" hidden="1">
      <c r="E37" s="794">
        <v>30</v>
      </c>
      <c r="F37" s="920" cm="1" t="str">
        <f t="array" ref="F37:F37">OFFSET(G37,-1,-1)</f>
        <v>0</v>
      </c>
      <c r="H37" s="172" t="s">
        <v>504</v>
      </c>
      <c r="U37" s="921">
        <f>F37&gt;0</f>
        <v>0</v>
      </c>
      <c r="AB37" s="833">
        <v>5</v>
      </c>
      <c r="AC37" s="842" t="s">
        <v>505</v>
      </c>
      <c r="AD37" s="841" t="s">
        <v>485</v>
      </c>
      <c r="AE37" s="67"/>
      <c r="AF37" s="1710"/>
      <c r="AG37" s="1710"/>
      <c r="AH37" s="67"/>
      <c r="AI37" s="67"/>
      <c r="AJ37" s="67"/>
      <c r="AK37" s="67"/>
      <c r="AL37" s="67"/>
      <c r="AM37" s="67"/>
      <c r="AN37" s="67"/>
      <c r="AO37" s="366"/>
      <c r="AP37" s="1710"/>
      <c r="AQ37" s="1710"/>
      <c r="AR37" s="67"/>
      <c r="AS37" s="67"/>
      <c r="AT37" s="67"/>
      <c r="AU37" s="67"/>
      <c r="AV37" s="67"/>
      <c r="AW37" s="67"/>
      <c r="AX37" s="67"/>
      <c r="BA37" s="1159" t="s">
        <v>506</v>
      </c>
    </row>
    <row customHeight="1" ht="16.672500000000003" hidden="1">
      <c r="E38" s="794">
        <v>17.1</v>
      </c>
      <c r="F38" s="920" cm="1" t="str">
        <f t="array" ref="F38:F38">OFFSET(G38,-1,-1)</f>
        <v>0</v>
      </c>
      <c r="H38" s="172" t="s">
        <v>507</v>
      </c>
      <c r="U38" s="921">
        <f>F38&gt;0</f>
        <v>0</v>
      </c>
      <c r="AB38" s="833">
        <v>6</v>
      </c>
      <c r="AC38" s="842" t="s">
        <v>508</v>
      </c>
      <c r="AD38" s="841" t="s">
        <v>485</v>
      </c>
      <c r="AE38" s="67"/>
      <c r="AF38" s="1710"/>
      <c r="AG38" s="1710"/>
      <c r="AH38" s="67"/>
      <c r="AI38" s="67"/>
      <c r="AJ38" s="67"/>
      <c r="AK38" s="67"/>
      <c r="AL38" s="67"/>
      <c r="AM38" s="67"/>
      <c r="AN38" s="67"/>
      <c r="AO38" s="366"/>
      <c r="AP38" s="1710"/>
      <c r="AQ38" s="1710"/>
      <c r="AR38" s="67"/>
      <c r="AS38" s="67"/>
      <c r="AT38" s="67"/>
      <c r="AU38" s="67"/>
      <c r="AV38" s="67"/>
      <c r="AW38" s="67"/>
      <c r="AX38" s="67"/>
      <c r="BA38" s="1159" t="s">
        <v>509</v>
      </c>
    </row>
    <row customHeight="1" ht="16.672500000000003" hidden="1">
      <c r="E39" s="794">
        <v>17.1</v>
      </c>
      <c r="F39" s="920" cm="1" t="str">
        <f t="array" ref="F39:F39">OFFSET(G39,-1,-1)</f>
        <v>0</v>
      </c>
      <c r="H39" s="172" t="s">
        <v>510</v>
      </c>
      <c r="U39" s="921">
        <f>F39&gt;0</f>
        <v>0</v>
      </c>
      <c r="AB39" s="833">
        <v>7</v>
      </c>
      <c r="AC39" s="842" t="s">
        <v>511</v>
      </c>
      <c r="AD39" s="841" t="s">
        <v>485</v>
      </c>
      <c r="AE39" s="67"/>
      <c r="AF39" s="1710"/>
      <c r="AG39" s="1710"/>
      <c r="AH39" s="67"/>
      <c r="AI39" s="67"/>
      <c r="AJ39" s="67"/>
      <c r="AK39" s="67"/>
      <c r="AL39" s="67"/>
      <c r="AM39" s="67"/>
      <c r="AN39" s="67"/>
      <c r="AO39" s="366"/>
      <c r="AP39" s="1710"/>
      <c r="AQ39" s="1710"/>
      <c r="AR39" s="67"/>
      <c r="AS39" s="67"/>
      <c r="AT39" s="67"/>
      <c r="AU39" s="67"/>
      <c r="AV39" s="67"/>
      <c r="AW39" s="67"/>
      <c r="AX39" s="67"/>
      <c r="BA39" s="1159" t="s">
        <v>512</v>
      </c>
    </row>
    <row customHeight="1" ht="16.672500000000003" hidden="1">
      <c r="E40" s="794">
        <v>17.1</v>
      </c>
      <c r="F40" s="920" cm="1" t="str">
        <f t="array" ref="F40:F40">OFFSET(G40,-1,-1)</f>
        <v>0</v>
      </c>
      <c r="H40" s="172" t="s">
        <v>513</v>
      </c>
      <c r="U40" s="921">
        <f>F40&gt;0</f>
        <v>0</v>
      </c>
      <c r="AB40" s="833">
        <v>8</v>
      </c>
      <c r="AC40" s="842" t="s">
        <v>514</v>
      </c>
      <c r="AD40" s="841" t="s">
        <v>485</v>
      </c>
      <c r="AE40" s="67"/>
      <c r="AF40" s="1710"/>
      <c r="AG40" s="1710"/>
      <c r="AH40" s="67"/>
      <c r="AI40" s="67"/>
      <c r="AJ40" s="67"/>
      <c r="AK40" s="67"/>
      <c r="AL40" s="67"/>
      <c r="AM40" s="67"/>
      <c r="AN40" s="67"/>
      <c r="AO40" s="366"/>
      <c r="AP40" s="1710"/>
      <c r="AQ40" s="1710"/>
      <c r="AR40" s="67"/>
      <c r="AS40" s="67"/>
      <c r="AT40" s="67"/>
      <c r="AU40" s="67"/>
      <c r="AV40" s="67"/>
      <c r="AW40" s="67"/>
      <c r="AX40" s="67"/>
      <c r="BA40" s="1159" t="s">
        <v>515</v>
      </c>
    </row>
    <row customHeight="1" ht="16.672500000000003" hidden="1">
      <c r="E41" s="794">
        <v>17.1</v>
      </c>
      <c r="F41" s="920" cm="1" t="str">
        <f t="array" ref="F41:F41">OFFSET(G41,-1,-1)</f>
        <v>0</v>
      </c>
      <c r="H41" s="172" t="s">
        <v>516</v>
      </c>
      <c r="U41" s="921">
        <f>F41&gt;0</f>
        <v>0</v>
      </c>
      <c r="AB41" s="833">
        <v>9</v>
      </c>
      <c r="AC41" s="842" t="s">
        <v>517</v>
      </c>
      <c r="AD41" s="169" t="s">
        <v>518</v>
      </c>
      <c r="AE41" s="67">
        <f>7900</f>
        <v>7900</v>
      </c>
      <c r="AF41" s="1710">
        <f>7900</f>
        <v>7900</v>
      </c>
      <c r="AG41" s="1710">
        <f>7900</f>
        <v>7900</v>
      </c>
      <c r="AH41" s="67">
        <f>7900</f>
        <v>7900</v>
      </c>
      <c r="AI41" s="67">
        <f>7900</f>
        <v>7900</v>
      </c>
      <c r="AJ41" s="67">
        <f>7900</f>
        <v>7900</v>
      </c>
      <c r="AK41" s="67">
        <f>7900</f>
        <v>7900</v>
      </c>
      <c r="AL41" s="67">
        <f>7900</f>
        <v>7900</v>
      </c>
      <c r="AM41" s="67">
        <f>7900</f>
        <v>7900</v>
      </c>
      <c r="AN41" s="67">
        <f>7900</f>
        <v>7900</v>
      </c>
      <c r="AO41" s="366">
        <f>7900</f>
        <v>7900</v>
      </c>
      <c r="AP41" s="1710">
        <f>7900</f>
        <v>7900</v>
      </c>
      <c r="AQ41" s="1710">
        <f>7900</f>
        <v>7900</v>
      </c>
      <c r="AR41" s="67">
        <f>7900</f>
        <v>7900</v>
      </c>
      <c r="AS41" s="67">
        <f>7900</f>
        <v>7900</v>
      </c>
      <c r="AT41" s="67">
        <f>7900</f>
        <v>7900</v>
      </c>
      <c r="AU41" s="67">
        <f>7900</f>
        <v>7900</v>
      </c>
      <c r="AV41" s="67">
        <f>7900</f>
        <v>7900</v>
      </c>
      <c r="AW41" s="67">
        <f>7900</f>
        <v>7900</v>
      </c>
      <c r="AX41" s="67">
        <f>7900</f>
        <v>7900</v>
      </c>
      <c r="BA41" s="1159" t="s">
        <v>519</v>
      </c>
    </row>
    <row customHeight="1" ht="16.672500000000003" hidden="1">
      <c r="E42" s="794">
        <v>17.1</v>
      </c>
      <c r="F42" s="920" cm="1" t="str">
        <f t="array" ref="F42:F42">OFFSET(G42,-1,-1)</f>
        <v>0</v>
      </c>
      <c r="H42" s="172" t="s">
        <v>520</v>
      </c>
      <c r="U42" s="921">
        <f>F42&gt;0</f>
        <v>0</v>
      </c>
      <c r="AB42" s="833">
        <v>10</v>
      </c>
      <c r="AC42" s="842" t="s">
        <v>521</v>
      </c>
      <c r="AD42" s="169" t="s">
        <v>522</v>
      </c>
      <c r="AE42" s="67"/>
      <c r="AF42" s="1710"/>
      <c r="AG42" s="1710"/>
      <c r="AH42" s="67"/>
      <c r="AI42" s="67"/>
      <c r="AJ42" s="67"/>
      <c r="AK42" s="67"/>
      <c r="AL42" s="67"/>
      <c r="AM42" s="67"/>
      <c r="AN42" s="67"/>
      <c r="AO42" s="366"/>
      <c r="AP42" s="1710"/>
      <c r="AQ42" s="1710"/>
      <c r="AR42" s="67"/>
      <c r="AS42" s="67"/>
      <c r="AT42" s="67"/>
      <c r="AU42" s="67"/>
      <c r="AV42" s="67"/>
      <c r="AW42" s="67"/>
      <c r="AX42" s="67"/>
      <c r="BA42" s="1159" t="s">
        <v>523</v>
      </c>
    </row>
    <row customHeight="1" ht="16.672500000000003" hidden="1">
      <c r="E43" s="794">
        <v>17.1</v>
      </c>
      <c r="F43" s="920" cm="1" t="str">
        <f t="array" ref="F43:F43">OFFSET(G43,-1,-1)</f>
        <v>0</v>
      </c>
      <c r="H43" s="172" t="s">
        <v>524</v>
      </c>
      <c r="U43" s="921">
        <f>F43&gt;0</f>
        <v>0</v>
      </c>
      <c r="AB43" s="833">
        <v>11</v>
      </c>
      <c r="AC43" s="842" t="s">
        <v>525</v>
      </c>
      <c r="AD43" s="169" t="s">
        <v>526</v>
      </c>
      <c r="AE43" s="67">
        <f>7000</f>
        <v>7000</v>
      </c>
      <c r="AF43" s="1710">
        <f>7000</f>
        <v>7000</v>
      </c>
      <c r="AG43" s="1710">
        <f>7000</f>
        <v>7000</v>
      </c>
      <c r="AH43" s="67">
        <f>7000</f>
        <v>7000</v>
      </c>
      <c r="AI43" s="67">
        <f>7000</f>
        <v>7000</v>
      </c>
      <c r="AJ43" s="67">
        <f>7000</f>
        <v>7000</v>
      </c>
      <c r="AK43" s="67">
        <f>7000</f>
        <v>7000</v>
      </c>
      <c r="AL43" s="67">
        <f>7000</f>
        <v>7000</v>
      </c>
      <c r="AM43" s="67">
        <f>7000</f>
        <v>7000</v>
      </c>
      <c r="AN43" s="67">
        <f>7000</f>
        <v>7000</v>
      </c>
      <c r="AO43" s="366">
        <f>7000</f>
        <v>7000</v>
      </c>
      <c r="AP43" s="1710">
        <f>7000</f>
        <v>7000</v>
      </c>
      <c r="AQ43" s="1710">
        <f>7000</f>
        <v>7000</v>
      </c>
      <c r="AR43" s="67">
        <f>7000</f>
        <v>7000</v>
      </c>
      <c r="AS43" s="67">
        <f>7000</f>
        <v>7000</v>
      </c>
      <c r="AT43" s="67">
        <f>7000</f>
        <v>7000</v>
      </c>
      <c r="AU43" s="67">
        <f>7000</f>
        <v>7000</v>
      </c>
      <c r="AV43" s="67">
        <f>7000</f>
        <v>7000</v>
      </c>
      <c r="AW43" s="67">
        <f>7000</f>
        <v>7000</v>
      </c>
      <c r="AX43" s="67">
        <f>7000</f>
        <v>7000</v>
      </c>
      <c r="BA43" s="1159" t="s">
        <v>527</v>
      </c>
    </row>
    <row customHeight="1" ht="16.672500000000003" hidden="1">
      <c r="E44" s="794">
        <v>17.1</v>
      </c>
      <c r="F44" s="920" cm="1" t="str">
        <f t="array" ref="F44:F44">OFFSET(G44,-1,-1)</f>
        <v>0</v>
      </c>
      <c r="H44" s="172" t="s">
        <v>528</v>
      </c>
      <c r="U44" s="921">
        <f>F44&gt;0</f>
        <v>0</v>
      </c>
      <c r="AB44" s="833">
        <v>12</v>
      </c>
      <c r="AC44" s="842" t="s">
        <v>529</v>
      </c>
      <c r="AD44" s="841" t="s">
        <v>485</v>
      </c>
      <c r="AE44" s="67"/>
      <c r="AF44" s="1710"/>
      <c r="AG44" s="1710"/>
      <c r="AH44" s="67"/>
      <c r="AI44" s="67"/>
      <c r="AJ44" s="67"/>
      <c r="AK44" s="67"/>
      <c r="AL44" s="67"/>
      <c r="AM44" s="67"/>
      <c r="AN44" s="67"/>
      <c r="AO44" s="366"/>
      <c r="AP44" s="1710"/>
      <c r="AQ44" s="1710"/>
      <c r="AR44" s="67"/>
      <c r="AS44" s="67"/>
      <c r="AT44" s="67"/>
      <c r="AU44" s="67"/>
      <c r="AV44" s="67"/>
      <c r="AW44" s="67"/>
      <c r="AX44" s="67"/>
      <c r="BA44" s="1159" t="s">
        <v>530</v>
      </c>
    </row>
    <row customHeight="1" ht="16.672500000000003" hidden="1">
      <c r="E45" s="794">
        <v>17.1</v>
      </c>
      <c r="F45" s="920" cm="1" t="str">
        <f t="array" ref="F45:F45">OFFSET(G45,-1,-1)</f>
        <v>0</v>
      </c>
      <c r="H45" s="172" t="s">
        <v>531</v>
      </c>
      <c r="U45" s="921">
        <f>F45&gt;0</f>
        <v>0</v>
      </c>
      <c r="AB45" s="833">
        <v>13</v>
      </c>
      <c r="AC45" s="842" t="s">
        <v>532</v>
      </c>
      <c r="AD45" s="841" t="s">
        <v>485</v>
      </c>
      <c r="AE45" s="67"/>
      <c r="AF45" s="1710"/>
      <c r="AG45" s="1710"/>
      <c r="AH45" s="67"/>
      <c r="AI45" s="67"/>
      <c r="AJ45" s="67"/>
      <c r="AK45" s="67"/>
      <c r="AL45" s="67"/>
      <c r="AM45" s="67"/>
      <c r="AN45" s="67"/>
      <c r="AO45" s="366"/>
      <c r="AP45" s="1710"/>
      <c r="AQ45" s="1710"/>
      <c r="AR45" s="67"/>
      <c r="AS45" s="67"/>
      <c r="AT45" s="67"/>
      <c r="AU45" s="67"/>
      <c r="AV45" s="67"/>
      <c r="AW45" s="67"/>
      <c r="AX45" s="67"/>
      <c r="BA45" s="1159" t="s">
        <v>533</v>
      </c>
    </row>
    <row customHeight="1" ht="16.672500000000003" hidden="1">
      <c r="E46" s="794">
        <v>17.1</v>
      </c>
      <c r="F46" s="920" cm="1" t="str">
        <f t="array" ref="F46:F46">OFFSET(G46,-1,-1)</f>
        <v>0</v>
      </c>
      <c r="H46" s="172" t="s">
        <v>534</v>
      </c>
      <c r="U46" s="921">
        <f>F46&gt;0</f>
        <v>0</v>
      </c>
      <c r="AB46" s="833">
        <v>14</v>
      </c>
      <c r="AC46" s="842" t="s">
        <v>535</v>
      </c>
      <c r="AD46" s="841" t="s">
        <v>485</v>
      </c>
      <c r="AE46" s="67"/>
      <c r="AF46" s="1710"/>
      <c r="AG46" s="1710"/>
      <c r="AH46" s="67"/>
      <c r="AI46" s="67"/>
      <c r="AJ46" s="67"/>
      <c r="AK46" s="67"/>
      <c r="AL46" s="67"/>
      <c r="AM46" s="67"/>
      <c r="AN46" s="67"/>
      <c r="AO46" s="366"/>
      <c r="AP46" s="1710"/>
      <c r="AQ46" s="1710"/>
      <c r="AR46" s="67"/>
      <c r="AS46" s="67"/>
      <c r="AT46" s="67"/>
      <c r="AU46" s="67"/>
      <c r="AV46" s="67"/>
      <c r="AW46" s="67"/>
      <c r="AX46" s="67"/>
      <c r="BA46" s="1159" t="s">
        <v>536</v>
      </c>
    </row>
    <row customHeight="1" ht="16.672500000000003" hidden="1">
      <c r="E47" s="794">
        <v>17.1</v>
      </c>
      <c r="F47" s="920" cm="1" t="str">
        <f t="array" ref="F47:F47">OFFSET(G47,-1,-1)</f>
        <v>0</v>
      </c>
      <c r="H47" s="172" t="s">
        <v>537</v>
      </c>
      <c r="U47" s="921">
        <f>F47&gt;0</f>
        <v>0</v>
      </c>
      <c r="AB47" s="833">
        <v>15</v>
      </c>
      <c r="AC47" s="842" t="s">
        <v>538</v>
      </c>
      <c r="AD47" s="841" t="s">
        <v>485</v>
      </c>
      <c r="AE47" s="67"/>
      <c r="AF47" s="1710"/>
      <c r="AG47" s="1710"/>
      <c r="AH47" s="67"/>
      <c r="AI47" s="67"/>
      <c r="AJ47" s="67"/>
      <c r="AK47" s="67"/>
      <c r="AL47" s="67"/>
      <c r="AM47" s="67"/>
      <c r="AN47" s="67"/>
      <c r="AO47" s="366"/>
      <c r="AP47" s="1710"/>
      <c r="AQ47" s="1710"/>
      <c r="AR47" s="67"/>
      <c r="AS47" s="67"/>
      <c r="AT47" s="67"/>
      <c r="AU47" s="67"/>
      <c r="AV47" s="67"/>
      <c r="AW47" s="67"/>
      <c r="AX47" s="67"/>
      <c r="BA47" s="1159" t="s">
        <v>539</v>
      </c>
    </row>
    <row customHeight="1" ht="16.672500000000003" hidden="1">
      <c r="E48" s="794">
        <v>17.1</v>
      </c>
      <c r="F48" s="920" cm="1" t="str">
        <f t="array" ref="F48:F48">OFFSET(G48,-1,-1)</f>
        <v>0</v>
      </c>
      <c r="G48" s="920" t="s">
        <v>540</v>
      </c>
      <c r="H48" s="172" t="s">
        <v>541</v>
      </c>
      <c r="U48" s="1057">
        <f>AND(F48&gt;0,method_reg&lt;&gt;"Метод экономически обоснованных расходов")</f>
        <v>0</v>
      </c>
      <c r="AB48" s="833">
        <v>16</v>
      </c>
      <c r="AC48" s="844" t="s">
        <v>542</v>
      </c>
      <c r="AD48" s="206"/>
      <c r="AE48" s="67"/>
      <c r="AF48" s="1710"/>
      <c r="AG48" s="1710"/>
      <c r="AH48" s="67"/>
      <c r="AI48" s="67"/>
      <c r="AJ48" s="67"/>
      <c r="AK48" s="67"/>
      <c r="AL48" s="67"/>
      <c r="AM48" s="67"/>
      <c r="AN48" s="67"/>
      <c r="AO48" s="366"/>
      <c r="AP48" s="1710"/>
      <c r="AQ48" s="1710"/>
      <c r="AR48" s="67"/>
      <c r="AS48" s="67"/>
      <c r="AT48" s="67"/>
      <c r="AU48" s="67"/>
      <c r="AV48" s="67"/>
      <c r="AW48" s="67"/>
      <c r="AX48" s="67"/>
      <c r="BA48" s="1159" t="s">
        <v>543</v>
      </c>
    </row>
    <row customHeight="1" ht="29.25" hidden="1">
      <c r="E49" s="794">
        <v>30</v>
      </c>
      <c r="F49" s="920" cm="1" t="str">
        <f t="array" ref="F49:F49">OFFSET(G49,-1,-1)</f>
        <v>0</v>
      </c>
      <c r="G49" s="920" t="s">
        <v>544</v>
      </c>
      <c r="H49" s="172" t="s">
        <v>545</v>
      </c>
      <c r="U49" s="1057">
        <f>AND(F49&gt;0,method_reg&lt;&gt;"Метод экономически обоснованных расходов")</f>
        <v>0</v>
      </c>
      <c r="AB49" s="833">
        <v>17</v>
      </c>
      <c r="AC49" s="207" t="s">
        <v>546</v>
      </c>
      <c r="AD49" s="834"/>
      <c r="AE49" s="67">
        <f>0.75</f>
        <v>0.75</v>
      </c>
      <c r="AF49" s="1710">
        <f>0.75</f>
        <v>0.75</v>
      </c>
      <c r="AG49" s="1710">
        <f>0.75</f>
        <v>0.75</v>
      </c>
      <c r="AH49" s="67">
        <f>0.75</f>
        <v>0.75</v>
      </c>
      <c r="AI49" s="67">
        <f>0.75</f>
        <v>0.75</v>
      </c>
      <c r="AJ49" s="67">
        <f>0.75</f>
        <v>0.75</v>
      </c>
      <c r="AK49" s="67">
        <f>0.75</f>
        <v>0.75</v>
      </c>
      <c r="AL49" s="67">
        <f>0.75</f>
        <v>0.75</v>
      </c>
      <c r="AM49" s="67">
        <f>0.75</f>
        <v>0.75</v>
      </c>
      <c r="AN49" s="67">
        <f>0.75</f>
        <v>0.75</v>
      </c>
      <c r="AO49" s="366">
        <f>0.75</f>
        <v>0.75</v>
      </c>
      <c r="AP49" s="1710">
        <f>0.75</f>
        <v>0.75</v>
      </c>
      <c r="AQ49" s="1710">
        <f>0.75</f>
        <v>0.75</v>
      </c>
      <c r="AR49" s="67">
        <f>0.75</f>
        <v>0.75</v>
      </c>
      <c r="AS49" s="67">
        <f>0.75</f>
        <v>0.75</v>
      </c>
      <c r="AT49" s="67">
        <f>0.75</f>
        <v>0.75</v>
      </c>
      <c r="AU49" s="67">
        <f>0.75</f>
        <v>0.75</v>
      </c>
      <c r="AV49" s="67">
        <f>0.75</f>
        <v>0.75</v>
      </c>
      <c r="AW49" s="67">
        <f>0.75</f>
        <v>0.75</v>
      </c>
      <c r="AX49" s="67">
        <f>0.75</f>
        <v>0.75</v>
      </c>
      <c r="BA49" s="1159" t="s">
        <v>547</v>
      </c>
    </row>
    <row customHeight="1" ht="16.672500000000003" hidden="1">
      <c r="E50" s="794">
        <v>17.1</v>
      </c>
      <c r="F50" s="920" cm="1" t="str">
        <f t="array" ref="F50:F50">OFFSET(G50,-1,-1)</f>
        <v>0</v>
      </c>
      <c r="U50" s="921">
        <f>F50&gt;0</f>
        <v>0</v>
      </c>
      <c r="AB50" s="1051" t="s">
        <v>548</v>
      </c>
      <c r="AC50" s="345" t="s">
        <v>549</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550</v>
      </c>
      <c r="H51" s="172" t="s">
        <v>551</v>
      </c>
      <c r="U51" s="921">
        <f>F51&gt;0</f>
        <v>0</v>
      </c>
      <c r="AB51" s="477" t="s">
        <v>552</v>
      </c>
      <c r="AC51" s="205" t="s">
        <v>553</v>
      </c>
      <c r="AD51" s="206" t="s">
        <v>485</v>
      </c>
      <c r="AE51" s="67"/>
      <c r="AF51" s="1710"/>
      <c r="AG51" s="1710"/>
      <c r="AH51" s="67"/>
      <c r="AI51" s="67"/>
      <c r="AJ51" s="67"/>
      <c r="AK51" s="67"/>
      <c r="AL51" s="67"/>
      <c r="AM51" s="67"/>
      <c r="AN51" s="67"/>
      <c r="AO51" s="366"/>
      <c r="AP51" s="1710"/>
      <c r="AQ51" s="1710"/>
      <c r="AR51" s="67"/>
      <c r="AS51" s="67"/>
      <c r="AT51" s="67"/>
      <c r="AU51" s="67"/>
      <c r="AV51" s="67"/>
      <c r="AW51" s="67"/>
      <c r="AX51" s="67"/>
      <c r="BA51" s="1159" t="s">
        <v>554</v>
      </c>
    </row>
    <row customHeight="1" ht="16.672500000000003" hidden="1">
      <c r="E52" s="794">
        <v>17.1</v>
      </c>
      <c r="F52" s="920" cm="1" t="str">
        <f t="array" ref="F52:F52">OFFSET(G52,-1,-1)</f>
        <v>0</v>
      </c>
      <c r="H52" s="172" t="s">
        <v>555</v>
      </c>
      <c r="U52" s="921">
        <f>F52&gt;0</f>
        <v>0</v>
      </c>
      <c r="AB52" s="477" t="s">
        <v>556</v>
      </c>
      <c r="AC52" s="207" t="s">
        <v>557</v>
      </c>
      <c r="AD52" s="206" t="s">
        <v>485</v>
      </c>
      <c r="AE52" s="67"/>
      <c r="AF52" s="1710"/>
      <c r="AG52" s="1710"/>
      <c r="AH52" s="67"/>
      <c r="AI52" s="67"/>
      <c r="AJ52" s="67"/>
      <c r="AK52" s="67"/>
      <c r="AL52" s="67"/>
      <c r="AM52" s="67"/>
      <c r="AN52" s="67"/>
      <c r="AO52" s="366"/>
      <c r="AP52" s="1710"/>
      <c r="AQ52" s="1710"/>
      <c r="AR52" s="67"/>
      <c r="AS52" s="67"/>
      <c r="AT52" s="67"/>
      <c r="AU52" s="67"/>
      <c r="AV52" s="67"/>
      <c r="AW52" s="67"/>
      <c r="AX52" s="67"/>
      <c r="BA52" s="1159" t="s">
        <v>558</v>
      </c>
    </row>
    <row customHeight="1" ht="16.672500000000003" hidden="1">
      <c r="E53" s="794">
        <v>17.1</v>
      </c>
      <c r="F53" s="920" cm="1" t="str">
        <f t="array" ref="F53:F53">OFFSET(G53,-1,-1)</f>
        <v>0</v>
      </c>
      <c r="H53" s="172" t="s">
        <v>559</v>
      </c>
      <c r="U53" s="921">
        <f>F53&gt;0</f>
        <v>0</v>
      </c>
      <c r="AB53" s="477" t="s">
        <v>560</v>
      </c>
      <c r="AC53" s="207" t="s">
        <v>561</v>
      </c>
      <c r="AD53" s="206" t="s">
        <v>485</v>
      </c>
      <c r="AE53" s="67"/>
      <c r="AF53" s="1710"/>
      <c r="AG53" s="1710"/>
      <c r="AH53" s="67"/>
      <c r="AI53" s="67"/>
      <c r="AJ53" s="67"/>
      <c r="AK53" s="67"/>
      <c r="AL53" s="67"/>
      <c r="AM53" s="67"/>
      <c r="AN53" s="67"/>
      <c r="AO53" s="366"/>
      <c r="AP53" s="1710"/>
      <c r="AQ53" s="1710"/>
      <c r="AR53" s="67"/>
      <c r="AS53" s="67"/>
      <c r="AT53" s="67"/>
      <c r="AU53" s="67"/>
      <c r="AV53" s="67"/>
      <c r="AW53" s="67"/>
      <c r="AX53" s="67"/>
      <c r="BA53" s="1159" t="s">
        <v>562</v>
      </c>
    </row>
    <row customHeight="1" ht="16.672500000000003" hidden="1">
      <c r="E54" s="794">
        <v>17.1</v>
      </c>
      <c r="F54" s="920" cm="1" t="str">
        <f t="array" ref="F54:F54">OFFSET(G54,-1,-1)</f>
        <v>0</v>
      </c>
      <c r="H54" s="172" t="s">
        <v>563</v>
      </c>
      <c r="U54" s="921">
        <f>F54&gt;0</f>
        <v>0</v>
      </c>
      <c r="AB54" s="477" t="s">
        <v>564</v>
      </c>
      <c r="AC54" s="207" t="s">
        <v>565</v>
      </c>
      <c r="AD54" s="206" t="s">
        <v>485</v>
      </c>
      <c r="AE54" s="67"/>
      <c r="AF54" s="1710"/>
      <c r="AG54" s="1710"/>
      <c r="AH54" s="67"/>
      <c r="AI54" s="67"/>
      <c r="AJ54" s="67"/>
      <c r="AK54" s="67"/>
      <c r="AL54" s="67"/>
      <c r="AM54" s="67"/>
      <c r="AN54" s="67"/>
      <c r="AO54" s="366"/>
      <c r="AP54" s="1710"/>
      <c r="AQ54" s="1710"/>
      <c r="AR54" s="67"/>
      <c r="AS54" s="67"/>
      <c r="AT54" s="67"/>
      <c r="AU54" s="67"/>
      <c r="AV54" s="67"/>
      <c r="AW54" s="67"/>
      <c r="AX54" s="67"/>
      <c r="BA54" s="1159" t="s">
        <v>566</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337</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42"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486</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42" customFormat="1" customHeight="1" ht="16.5">
      <c r="A57" s="1184"/>
      <c r="B57" s="925"/>
      <c r="C57" s="1437"/>
      <c r="D57" s="1437"/>
      <c r="E57" s="794">
        <v>17.1</v>
      </c>
      <c r="F57" s="920" cm="1" t="str">
        <f t="array" ref="F57:F57">OFFSET(G57,-1,-1)</f>
        <v>1</v>
      </c>
      <c r="G57" s="920" t="s">
        <v>487</v>
      </c>
      <c r="H57" s="172" t="s">
        <v>488</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489</v>
      </c>
      <c r="AD57" s="206" t="s">
        <v>485</v>
      </c>
      <c r="AE57" s="1714">
        <v>1</v>
      </c>
      <c r="AF57" s="1710">
        <v>1</v>
      </c>
      <c r="AG57" s="1710">
        <v>1</v>
      </c>
      <c r="AH57" s="1714">
        <v>1</v>
      </c>
      <c r="AI57" s="1714">
        <v>1</v>
      </c>
      <c r="AJ57" s="1714">
        <v>1</v>
      </c>
      <c r="AK57" s="1714">
        <v>1</v>
      </c>
      <c r="AL57" s="1714">
        <v>1</v>
      </c>
      <c r="AM57" s="1714">
        <v>1</v>
      </c>
      <c r="AN57" s="1714">
        <v>1</v>
      </c>
      <c r="AO57" s="366">
        <v>1</v>
      </c>
      <c r="AP57" s="1710">
        <v>1</v>
      </c>
      <c r="AQ57" s="1710">
        <v>1</v>
      </c>
      <c r="AR57" s="1714">
        <v>1</v>
      </c>
      <c r="AS57" s="1714">
        <v>1</v>
      </c>
      <c r="AT57" s="1714">
        <v>1</v>
      </c>
      <c r="AU57" s="1714">
        <v>1</v>
      </c>
      <c r="AV57" s="1714">
        <v>1</v>
      </c>
      <c r="AW57" s="1714">
        <v>1</v>
      </c>
      <c r="AX57" s="1714">
        <v>1</v>
      </c>
      <c r="AY57" s="217"/>
      <c r="AZ57" s="217"/>
      <c r="BA57" s="1159" t="s">
        <v>490</v>
      </c>
      <c r="BB57" s="1213"/>
      <c r="BC57" s="1213"/>
      <c r="BD57" s="1163"/>
      <c r="BE57" s="1163"/>
    </row>
    <row s="1642" customFormat="1" customHeight="1" ht="29.25">
      <c r="A58" s="1184"/>
      <c r="B58" s="925"/>
      <c r="C58" s="1437"/>
      <c r="D58" s="1437"/>
      <c r="E58" s="794">
        <v>30</v>
      </c>
      <c r="F58" s="920" cm="1" t="str">
        <f t="array" ref="F58:F58">OFFSET(G58,-1,-1)</f>
        <v>1</v>
      </c>
      <c r="G58" s="1437"/>
      <c r="H58" s="172" t="s">
        <v>491</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440</v>
      </c>
      <c r="AC58" s="836" t="s">
        <v>492</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42"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42"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235</v>
      </c>
      <c r="Y60" s="1437"/>
      <c r="Z60" s="1437"/>
      <c r="AA60" s="915" t="s">
        <v>219</v>
      </c>
      <c r="AB60" s="893" t="s">
        <v>493</v>
      </c>
      <c r="AC60" s="69"/>
      <c r="AD60" s="894" t="s">
        <v>485</v>
      </c>
      <c r="AE60" s="70"/>
      <c r="AF60" s="1711"/>
      <c r="AG60" s="1711"/>
      <c r="AH60" s="70"/>
      <c r="AI60" s="70"/>
      <c r="AJ60" s="70"/>
      <c r="AK60" s="70"/>
      <c r="AL60" s="70"/>
      <c r="AM60" s="70"/>
      <c r="AN60" s="70"/>
      <c r="AO60" s="1125"/>
      <c r="AP60" s="1711"/>
      <c r="AQ60" s="1711"/>
      <c r="AR60" s="70"/>
      <c r="AS60" s="70"/>
      <c r="AT60" s="70"/>
      <c r="AU60" s="70"/>
      <c r="AV60" s="70"/>
      <c r="AW60" s="70"/>
      <c r="AX60" s="70"/>
      <c r="AY60" s="217"/>
      <c r="AZ60" s="217"/>
      <c r="BA60" s="1159" t="s">
        <v>494</v>
      </c>
      <c r="BB60" s="1159" t="s">
        <v>495</v>
      </c>
      <c r="BC60" s="1159" cm="1" t="str">
        <f t="array" ref="BC60:BC60">AC60</f>
        <v>0</v>
      </c>
      <c r="BD60" s="1163"/>
      <c r="BE60" s="1163" t="b">
        <v>1</v>
      </c>
    </row>
    <row s="1642"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496</v>
      </c>
      <c r="Y61" s="1437"/>
      <c r="Z61" s="1437"/>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495</v>
      </c>
      <c r="BE61" s="1163"/>
    </row>
    <row s="1642" customFormat="1" customHeight="1" ht="16.5">
      <c r="A62" s="1184"/>
      <c r="B62" s="925"/>
      <c r="C62" s="1437"/>
      <c r="D62" s="1437"/>
      <c r="E62" s="794">
        <v>17.1</v>
      </c>
      <c r="F62" s="920" cm="1" t="str">
        <f t="array" ref="F62:F62">OFFSET(G62,-1,-1)</f>
        <v>1</v>
      </c>
      <c r="G62" s="920" t="s">
        <v>497</v>
      </c>
      <c r="H62" s="172" t="s">
        <v>498</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499</v>
      </c>
      <c r="AD62" s="897" t="s">
        <v>485</v>
      </c>
      <c r="AE62" s="1716"/>
      <c r="AF62" s="1707"/>
      <c r="AG62" s="1707"/>
      <c r="AH62" s="1716"/>
      <c r="AI62" s="1716"/>
      <c r="AJ62" s="1716"/>
      <c r="AK62" s="1716"/>
      <c r="AL62" s="1716"/>
      <c r="AM62" s="1716"/>
      <c r="AN62" s="1716"/>
      <c r="AO62" s="1124">
        <v>105.1</v>
      </c>
      <c r="AP62" s="1707"/>
      <c r="AQ62" s="1707"/>
      <c r="AR62" s="1716"/>
      <c r="AS62" s="1716"/>
      <c r="AT62" s="1716"/>
      <c r="AU62" s="1716"/>
      <c r="AV62" s="1716"/>
      <c r="AW62" s="1716"/>
      <c r="AX62" s="1716"/>
      <c r="AY62" s="217"/>
      <c r="AZ62" s="217"/>
      <c r="BA62" s="1159" t="s">
        <v>500</v>
      </c>
      <c r="BB62" s="1213"/>
      <c r="BC62" s="1213"/>
      <c r="BD62" s="1163"/>
      <c r="BE62" s="1163"/>
    </row>
    <row s="1642" customFormat="1" customHeight="1" ht="16.5">
      <c r="A63" s="1184"/>
      <c r="B63" s="925"/>
      <c r="C63" s="1437"/>
      <c r="D63" s="1437"/>
      <c r="E63" s="794">
        <v>17.1</v>
      </c>
      <c r="F63" s="920" cm="1" t="str">
        <f t="array" ref="F63:F63">OFFSET(G63,-1,-1)</f>
        <v>1</v>
      </c>
      <c r="G63" s="1437"/>
      <c r="H63" s="172" t="s">
        <v>501</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502</v>
      </c>
      <c r="AD63" s="841" t="s">
        <v>485</v>
      </c>
      <c r="AE63" s="1714"/>
      <c r="AF63" s="1710"/>
      <c r="AG63" s="1710"/>
      <c r="AH63" s="1714"/>
      <c r="AI63" s="1714"/>
      <c r="AJ63" s="1714"/>
      <c r="AK63" s="1714"/>
      <c r="AL63" s="1714"/>
      <c r="AM63" s="1714"/>
      <c r="AN63" s="1714"/>
      <c r="AO63" s="366">
        <v>113.2</v>
      </c>
      <c r="AP63" s="1710"/>
      <c r="AQ63" s="1710"/>
      <c r="AR63" s="1714"/>
      <c r="AS63" s="1714"/>
      <c r="AT63" s="1714"/>
      <c r="AU63" s="1714"/>
      <c r="AV63" s="1714"/>
      <c r="AW63" s="1714"/>
      <c r="AX63" s="1714"/>
      <c r="AY63" s="217"/>
      <c r="AZ63" s="217"/>
      <c r="BA63" s="1159" t="s">
        <v>503</v>
      </c>
      <c r="BB63" s="1213"/>
      <c r="BC63" s="1213"/>
      <c r="BD63" s="1163"/>
      <c r="BE63" s="1163"/>
    </row>
    <row s="1642" customFormat="1" customHeight="1" ht="29.25">
      <c r="A64" s="1184"/>
      <c r="B64" s="925"/>
      <c r="C64" s="1437"/>
      <c r="D64" s="1437"/>
      <c r="E64" s="794">
        <v>30</v>
      </c>
      <c r="F64" s="920" cm="1" t="str">
        <f t="array" ref="F64:F64">OFFSET(G64,-1,-1)</f>
        <v>1</v>
      </c>
      <c r="G64" s="1437"/>
      <c r="H64" s="172" t="s">
        <v>504</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505</v>
      </c>
      <c r="AD64" s="841" t="s">
        <v>485</v>
      </c>
      <c r="AE64" s="1714"/>
      <c r="AF64" s="1710"/>
      <c r="AG64" s="1710"/>
      <c r="AH64" s="1714"/>
      <c r="AI64" s="1714"/>
      <c r="AJ64" s="1714"/>
      <c r="AK64" s="1714"/>
      <c r="AL64" s="1714"/>
      <c r="AM64" s="1714"/>
      <c r="AN64" s="1714"/>
      <c r="AO64" s="366"/>
      <c r="AP64" s="1710"/>
      <c r="AQ64" s="1710"/>
      <c r="AR64" s="1714"/>
      <c r="AS64" s="1714"/>
      <c r="AT64" s="1714"/>
      <c r="AU64" s="1714"/>
      <c r="AV64" s="1714"/>
      <c r="AW64" s="1714"/>
      <c r="AX64" s="1714"/>
      <c r="AY64" s="217"/>
      <c r="AZ64" s="217"/>
      <c r="BA64" s="1159" t="s">
        <v>506</v>
      </c>
      <c r="BB64" s="1213"/>
      <c r="BC64" s="1213"/>
      <c r="BD64" s="1163"/>
      <c r="BE64" s="1163"/>
    </row>
    <row s="1642" customFormat="1" customHeight="1" ht="16.5">
      <c r="A65" s="1184"/>
      <c r="B65" s="925"/>
      <c r="C65" s="1437"/>
      <c r="D65" s="1437"/>
      <c r="E65" s="794">
        <v>17.1</v>
      </c>
      <c r="F65" s="920" cm="1" t="str">
        <f t="array" ref="F65:F65">OFFSET(G65,-1,-1)</f>
        <v>1</v>
      </c>
      <c r="G65" s="1437"/>
      <c r="H65" s="172" t="s">
        <v>507</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508</v>
      </c>
      <c r="AD65" s="841" t="s">
        <v>485</v>
      </c>
      <c r="AE65" s="1714"/>
      <c r="AF65" s="1710"/>
      <c r="AG65" s="1710"/>
      <c r="AH65" s="1714"/>
      <c r="AI65" s="1714"/>
      <c r="AJ65" s="1714"/>
      <c r="AK65" s="1714"/>
      <c r="AL65" s="1714"/>
      <c r="AM65" s="1714"/>
      <c r="AN65" s="1714"/>
      <c r="AO65" s="366">
        <v>109.6</v>
      </c>
      <c r="AP65" s="1710"/>
      <c r="AQ65" s="1710"/>
      <c r="AR65" s="1714"/>
      <c r="AS65" s="1714"/>
      <c r="AT65" s="1714"/>
      <c r="AU65" s="1714"/>
      <c r="AV65" s="1714"/>
      <c r="AW65" s="1714"/>
      <c r="AX65" s="1714"/>
      <c r="AY65" s="217"/>
      <c r="AZ65" s="217"/>
      <c r="BA65" s="1159" t="s">
        <v>509</v>
      </c>
      <c r="BB65" s="1213"/>
      <c r="BC65" s="1213"/>
      <c r="BD65" s="1163"/>
      <c r="BE65" s="1163"/>
    </row>
    <row s="1642" customFormat="1" customHeight="1" ht="16.5">
      <c r="A66" s="1184"/>
      <c r="B66" s="925"/>
      <c r="C66" s="1437"/>
      <c r="D66" s="1437"/>
      <c r="E66" s="794">
        <v>17.1</v>
      </c>
      <c r="F66" s="920" cm="1" t="str">
        <f t="array" ref="F66:F66">OFFSET(G66,-1,-1)</f>
        <v>1</v>
      </c>
      <c r="G66" s="1437"/>
      <c r="H66" s="172" t="s">
        <v>510</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511</v>
      </c>
      <c r="AD66" s="841" t="s">
        <v>485</v>
      </c>
      <c r="AE66" s="1714"/>
      <c r="AF66" s="1710"/>
      <c r="AG66" s="1710"/>
      <c r="AH66" s="1714"/>
      <c r="AI66" s="1714"/>
      <c r="AJ66" s="1714"/>
      <c r="AK66" s="1714"/>
      <c r="AL66" s="1714"/>
      <c r="AM66" s="1714"/>
      <c r="AN66" s="1714"/>
      <c r="AO66" s="366"/>
      <c r="AP66" s="1710"/>
      <c r="AQ66" s="1710"/>
      <c r="AR66" s="1714"/>
      <c r="AS66" s="1714"/>
      <c r="AT66" s="1714"/>
      <c r="AU66" s="1714"/>
      <c r="AV66" s="1714"/>
      <c r="AW66" s="1714"/>
      <c r="AX66" s="1714"/>
      <c r="AY66" s="217"/>
      <c r="AZ66" s="217"/>
      <c r="BA66" s="1159" t="s">
        <v>512</v>
      </c>
      <c r="BB66" s="1213"/>
      <c r="BC66" s="1213"/>
      <c r="BD66" s="1163"/>
      <c r="BE66" s="1163"/>
    </row>
    <row s="1642" customFormat="1" customHeight="1" ht="16.5">
      <c r="A67" s="1184"/>
      <c r="B67" s="925"/>
      <c r="C67" s="1437"/>
      <c r="D67" s="1437"/>
      <c r="E67" s="794">
        <v>17.1</v>
      </c>
      <c r="F67" s="920" cm="1" t="str">
        <f t="array" ref="F67:F67">OFFSET(G67,-1,-1)</f>
        <v>1</v>
      </c>
      <c r="G67" s="1437"/>
      <c r="H67" s="172" t="s">
        <v>513</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514</v>
      </c>
      <c r="AD67" s="841" t="s">
        <v>485</v>
      </c>
      <c r="AE67" s="1714"/>
      <c r="AF67" s="1710"/>
      <c r="AG67" s="1710"/>
      <c r="AH67" s="1714"/>
      <c r="AI67" s="1714"/>
      <c r="AJ67" s="1714"/>
      <c r="AK67" s="1714"/>
      <c r="AL67" s="1714"/>
      <c r="AM67" s="1714"/>
      <c r="AN67" s="1714"/>
      <c r="AO67" s="366"/>
      <c r="AP67" s="1710"/>
      <c r="AQ67" s="1710"/>
      <c r="AR67" s="1714"/>
      <c r="AS67" s="1714"/>
      <c r="AT67" s="1714"/>
      <c r="AU67" s="1714"/>
      <c r="AV67" s="1714"/>
      <c r="AW67" s="1714"/>
      <c r="AX67" s="1714"/>
      <c r="AY67" s="217"/>
      <c r="AZ67" s="217"/>
      <c r="BA67" s="1159" t="s">
        <v>515</v>
      </c>
      <c r="BB67" s="1213"/>
      <c r="BC67" s="1213"/>
      <c r="BD67" s="1163"/>
      <c r="BE67" s="1163"/>
    </row>
    <row s="1642" customFormat="1" customHeight="1" ht="16.5">
      <c r="A68" s="1184"/>
      <c r="B68" s="925"/>
      <c r="C68" s="1437"/>
      <c r="D68" s="1437"/>
      <c r="E68" s="794">
        <v>17.1</v>
      </c>
      <c r="F68" s="920" cm="1" t="str">
        <f t="array" ref="F68:F68">OFFSET(G68,-1,-1)</f>
        <v>1</v>
      </c>
      <c r="G68" s="1437"/>
      <c r="H68" s="172" t="s">
        <v>516</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517</v>
      </c>
      <c r="AD68" s="169" t="s">
        <v>518</v>
      </c>
      <c r="AE68" s="1714">
        <f>7900</f>
        <v>7900</v>
      </c>
      <c r="AF68" s="1710">
        <f>7900</f>
        <v>7900</v>
      </c>
      <c r="AG68" s="1710">
        <f>7900</f>
        <v>7900</v>
      </c>
      <c r="AH68" s="1714">
        <f>7900</f>
        <v>7900</v>
      </c>
      <c r="AI68" s="1714">
        <f>7900</f>
        <v>7900</v>
      </c>
      <c r="AJ68" s="1714">
        <f>7900</f>
        <v>7900</v>
      </c>
      <c r="AK68" s="1714">
        <f>7900</f>
        <v>7900</v>
      </c>
      <c r="AL68" s="1714">
        <f>7900</f>
        <v>7900</v>
      </c>
      <c r="AM68" s="1714">
        <f>7900</f>
        <v>7900</v>
      </c>
      <c r="AN68" s="1714">
        <f>7900</f>
        <v>7900</v>
      </c>
      <c r="AO68" s="366">
        <f>7900</f>
        <v>7900</v>
      </c>
      <c r="AP68" s="1710">
        <f>7900</f>
        <v>7900</v>
      </c>
      <c r="AQ68" s="1710">
        <f>7900</f>
        <v>7900</v>
      </c>
      <c r="AR68" s="1714">
        <f>7900</f>
        <v>7900</v>
      </c>
      <c r="AS68" s="1714">
        <f>7900</f>
        <v>7900</v>
      </c>
      <c r="AT68" s="1714">
        <f>7900</f>
        <v>7900</v>
      </c>
      <c r="AU68" s="1714">
        <f>7900</f>
        <v>7900</v>
      </c>
      <c r="AV68" s="1714">
        <f>7900</f>
        <v>7900</v>
      </c>
      <c r="AW68" s="1714">
        <f>7900</f>
        <v>7900</v>
      </c>
      <c r="AX68" s="1714">
        <f>7900</f>
        <v>7900</v>
      </c>
      <c r="AY68" s="217"/>
      <c r="AZ68" s="217"/>
      <c r="BA68" s="1159" t="s">
        <v>519</v>
      </c>
      <c r="BB68" s="1213"/>
      <c r="BC68" s="1213"/>
      <c r="BD68" s="1163"/>
      <c r="BE68" s="1163"/>
    </row>
    <row s="1642" customFormat="1" customHeight="1" ht="16.5">
      <c r="A69" s="1184"/>
      <c r="B69" s="925"/>
      <c r="C69" s="1437"/>
      <c r="D69" s="1437"/>
      <c r="E69" s="794">
        <v>17.1</v>
      </c>
      <c r="F69" s="920" cm="1" t="str">
        <f t="array" ref="F69:F69">OFFSET(G69,-1,-1)</f>
        <v>1</v>
      </c>
      <c r="G69" s="1437"/>
      <c r="H69" s="172" t="s">
        <v>520</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521</v>
      </c>
      <c r="AD69" s="169" t="s">
        <v>522</v>
      </c>
      <c r="AE69" s="1714"/>
      <c r="AF69" s="1710"/>
      <c r="AG69" s="1710"/>
      <c r="AH69" s="1714"/>
      <c r="AI69" s="1714"/>
      <c r="AJ69" s="1714"/>
      <c r="AK69" s="1714"/>
      <c r="AL69" s="1714"/>
      <c r="AM69" s="1714"/>
      <c r="AN69" s="1714"/>
      <c r="AO69" s="366"/>
      <c r="AP69" s="1710"/>
      <c r="AQ69" s="1710"/>
      <c r="AR69" s="1714"/>
      <c r="AS69" s="1714"/>
      <c r="AT69" s="1714"/>
      <c r="AU69" s="1714"/>
      <c r="AV69" s="1714"/>
      <c r="AW69" s="1714"/>
      <c r="AX69" s="1714"/>
      <c r="AY69" s="217"/>
      <c r="AZ69" s="217"/>
      <c r="BA69" s="1159" t="s">
        <v>523</v>
      </c>
      <c r="BB69" s="1213"/>
      <c r="BC69" s="1213"/>
      <c r="BD69" s="1163"/>
      <c r="BE69" s="1163"/>
    </row>
    <row s="1642" customFormat="1" customHeight="1" ht="16.5">
      <c r="A70" s="1184"/>
      <c r="B70" s="925"/>
      <c r="C70" s="1437"/>
      <c r="D70" s="1437"/>
      <c r="E70" s="794">
        <v>17.1</v>
      </c>
      <c r="F70" s="920" cm="1" t="str">
        <f t="array" ref="F70:F70">OFFSET(G70,-1,-1)</f>
        <v>1</v>
      </c>
      <c r="G70" s="1437"/>
      <c r="H70" s="172" t="s">
        <v>524</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525</v>
      </c>
      <c r="AD70" s="169" t="s">
        <v>526</v>
      </c>
      <c r="AE70" s="1714">
        <f>7000</f>
        <v>7000</v>
      </c>
      <c r="AF70" s="1710">
        <f>7000</f>
        <v>7000</v>
      </c>
      <c r="AG70" s="1710">
        <f>7000</f>
        <v>7000</v>
      </c>
      <c r="AH70" s="1714">
        <f>7000</f>
        <v>7000</v>
      </c>
      <c r="AI70" s="1714">
        <f>7000</f>
        <v>7000</v>
      </c>
      <c r="AJ70" s="1714">
        <f>7000</f>
        <v>7000</v>
      </c>
      <c r="AK70" s="1714">
        <f>7000</f>
        <v>7000</v>
      </c>
      <c r="AL70" s="1714">
        <f>7000</f>
        <v>7000</v>
      </c>
      <c r="AM70" s="1714">
        <f>7000</f>
        <v>7000</v>
      </c>
      <c r="AN70" s="1714">
        <f>7000</f>
        <v>7000</v>
      </c>
      <c r="AO70" s="366">
        <f>7000</f>
        <v>7000</v>
      </c>
      <c r="AP70" s="1710">
        <f>7000</f>
        <v>7000</v>
      </c>
      <c r="AQ70" s="1710">
        <f>7000</f>
        <v>7000</v>
      </c>
      <c r="AR70" s="1714">
        <f>7000</f>
        <v>7000</v>
      </c>
      <c r="AS70" s="1714">
        <f>7000</f>
        <v>7000</v>
      </c>
      <c r="AT70" s="1714">
        <f>7000</f>
        <v>7000</v>
      </c>
      <c r="AU70" s="1714">
        <f>7000</f>
        <v>7000</v>
      </c>
      <c r="AV70" s="1714">
        <f>7000</f>
        <v>7000</v>
      </c>
      <c r="AW70" s="1714">
        <f>7000</f>
        <v>7000</v>
      </c>
      <c r="AX70" s="1714">
        <f>7000</f>
        <v>7000</v>
      </c>
      <c r="AY70" s="217"/>
      <c r="AZ70" s="217"/>
      <c r="BA70" s="1159" t="s">
        <v>527</v>
      </c>
      <c r="BB70" s="1213"/>
      <c r="BC70" s="1213"/>
      <c r="BD70" s="1163"/>
      <c r="BE70" s="1163"/>
    </row>
    <row s="1642" customFormat="1" customHeight="1" ht="16.5">
      <c r="A71" s="1184"/>
      <c r="B71" s="925"/>
      <c r="C71" s="1437"/>
      <c r="D71" s="1437"/>
      <c r="E71" s="794">
        <v>17.1</v>
      </c>
      <c r="F71" s="920" cm="1" t="str">
        <f t="array" ref="F71:F71">OFFSET(G71,-1,-1)</f>
        <v>1</v>
      </c>
      <c r="G71" s="1437"/>
      <c r="H71" s="172" t="s">
        <v>528</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529</v>
      </c>
      <c r="AD71" s="841" t="s">
        <v>485</v>
      </c>
      <c r="AE71" s="1714"/>
      <c r="AF71" s="1710"/>
      <c r="AG71" s="1710"/>
      <c r="AH71" s="1714"/>
      <c r="AI71" s="1714"/>
      <c r="AJ71" s="1714"/>
      <c r="AK71" s="1714"/>
      <c r="AL71" s="1714"/>
      <c r="AM71" s="1714"/>
      <c r="AN71" s="1714"/>
      <c r="AO71" s="366"/>
      <c r="AP71" s="1710"/>
      <c r="AQ71" s="1710"/>
      <c r="AR71" s="1714"/>
      <c r="AS71" s="1714"/>
      <c r="AT71" s="1714"/>
      <c r="AU71" s="1714"/>
      <c r="AV71" s="1714"/>
      <c r="AW71" s="1714"/>
      <c r="AX71" s="1714"/>
      <c r="AY71" s="217"/>
      <c r="AZ71" s="217"/>
      <c r="BA71" s="1159" t="s">
        <v>530</v>
      </c>
      <c r="BB71" s="1213"/>
      <c r="BC71" s="1213"/>
      <c r="BD71" s="1163"/>
      <c r="BE71" s="1163"/>
    </row>
    <row s="1642" customFormat="1" customHeight="1" ht="16.5">
      <c r="A72" s="1184"/>
      <c r="B72" s="925"/>
      <c r="C72" s="1437"/>
      <c r="D72" s="1437"/>
      <c r="E72" s="794">
        <v>17.1</v>
      </c>
      <c r="F72" s="920" cm="1" t="str">
        <f t="array" ref="F72:F72">OFFSET(G72,-1,-1)</f>
        <v>1</v>
      </c>
      <c r="G72" s="1437"/>
      <c r="H72" s="172" t="s">
        <v>531</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532</v>
      </c>
      <c r="AD72" s="841" t="s">
        <v>485</v>
      </c>
      <c r="AE72" s="1714"/>
      <c r="AF72" s="1710"/>
      <c r="AG72" s="1710"/>
      <c r="AH72" s="1714"/>
      <c r="AI72" s="1714"/>
      <c r="AJ72" s="1714"/>
      <c r="AK72" s="1714"/>
      <c r="AL72" s="1714"/>
      <c r="AM72" s="1714"/>
      <c r="AN72" s="1714"/>
      <c r="AO72" s="366"/>
      <c r="AP72" s="1710"/>
      <c r="AQ72" s="1710"/>
      <c r="AR72" s="1714"/>
      <c r="AS72" s="1714"/>
      <c r="AT72" s="1714"/>
      <c r="AU72" s="1714"/>
      <c r="AV72" s="1714"/>
      <c r="AW72" s="1714"/>
      <c r="AX72" s="1714"/>
      <c r="AY72" s="217"/>
      <c r="AZ72" s="217"/>
      <c r="BA72" s="1159" t="s">
        <v>533</v>
      </c>
      <c r="BB72" s="1213"/>
      <c r="BC72" s="1213"/>
      <c r="BD72" s="1163"/>
      <c r="BE72" s="1163"/>
    </row>
    <row s="1642" customFormat="1" customHeight="1" ht="16.5">
      <c r="A73" s="1184"/>
      <c r="B73" s="925"/>
      <c r="C73" s="1437"/>
      <c r="D73" s="1437"/>
      <c r="E73" s="794">
        <v>17.1</v>
      </c>
      <c r="F73" s="920" cm="1" t="str">
        <f t="array" ref="F73:F73">OFFSET(G73,-1,-1)</f>
        <v>1</v>
      </c>
      <c r="G73" s="1437"/>
      <c r="H73" s="172" t="s">
        <v>534</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535</v>
      </c>
      <c r="AD73" s="841" t="s">
        <v>485</v>
      </c>
      <c r="AE73" s="1714"/>
      <c r="AF73" s="1710"/>
      <c r="AG73" s="1710"/>
      <c r="AH73" s="1714"/>
      <c r="AI73" s="1714"/>
      <c r="AJ73" s="1714"/>
      <c r="AK73" s="1714"/>
      <c r="AL73" s="1714"/>
      <c r="AM73" s="1714"/>
      <c r="AN73" s="1714"/>
      <c r="AO73" s="366"/>
      <c r="AP73" s="1710"/>
      <c r="AQ73" s="1710"/>
      <c r="AR73" s="1714"/>
      <c r="AS73" s="1714"/>
      <c r="AT73" s="1714"/>
      <c r="AU73" s="1714"/>
      <c r="AV73" s="1714"/>
      <c r="AW73" s="1714"/>
      <c r="AX73" s="1714"/>
      <c r="AY73" s="217"/>
      <c r="AZ73" s="217"/>
      <c r="BA73" s="1159" t="s">
        <v>536</v>
      </c>
      <c r="BB73" s="1213"/>
      <c r="BC73" s="1213"/>
      <c r="BD73" s="1163"/>
      <c r="BE73" s="1163"/>
    </row>
    <row s="1642" customFormat="1" customHeight="1" ht="16.5">
      <c r="A74" s="1184"/>
      <c r="B74" s="925"/>
      <c r="C74" s="1437"/>
      <c r="D74" s="1437"/>
      <c r="E74" s="794">
        <v>17.1</v>
      </c>
      <c r="F74" s="920" cm="1" t="str">
        <f t="array" ref="F74:F74">OFFSET(G74,-1,-1)</f>
        <v>1</v>
      </c>
      <c r="G74" s="1437"/>
      <c r="H74" s="172" t="s">
        <v>537</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538</v>
      </c>
      <c r="AD74" s="841" t="s">
        <v>485</v>
      </c>
      <c r="AE74" s="1714"/>
      <c r="AF74" s="1710"/>
      <c r="AG74" s="1710"/>
      <c r="AH74" s="1714"/>
      <c r="AI74" s="1714"/>
      <c r="AJ74" s="1714"/>
      <c r="AK74" s="1714"/>
      <c r="AL74" s="1714"/>
      <c r="AM74" s="1714"/>
      <c r="AN74" s="1714"/>
      <c r="AO74" s="366"/>
      <c r="AP74" s="1710"/>
      <c r="AQ74" s="1710"/>
      <c r="AR74" s="1714"/>
      <c r="AS74" s="1714"/>
      <c r="AT74" s="1714"/>
      <c r="AU74" s="1714"/>
      <c r="AV74" s="1714"/>
      <c r="AW74" s="1714"/>
      <c r="AX74" s="1714"/>
      <c r="AY74" s="217"/>
      <c r="AZ74" s="217"/>
      <c r="BA74" s="1159" t="s">
        <v>539</v>
      </c>
      <c r="BB74" s="1213"/>
      <c r="BC74" s="1213"/>
      <c r="BD74" s="1163"/>
      <c r="BE74" s="1163"/>
    </row>
    <row s="1642" customFormat="1" customHeight="1" ht="16.5">
      <c r="A75" s="1184"/>
      <c r="B75" s="925"/>
      <c r="C75" s="1437"/>
      <c r="D75" s="1437"/>
      <c r="E75" s="794">
        <v>17.1</v>
      </c>
      <c r="F75" s="920" cm="1" t="str">
        <f t="array" ref="F75:F75">OFFSET(G75,-1,-1)</f>
        <v>1</v>
      </c>
      <c r="G75" s="920" t="s">
        <v>540</v>
      </c>
      <c r="H75" s="172" t="s">
        <v>541</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542</v>
      </c>
      <c r="AD75" s="206"/>
      <c r="AE75" s="1714"/>
      <c r="AF75" s="1710"/>
      <c r="AG75" s="1710"/>
      <c r="AH75" s="1714"/>
      <c r="AI75" s="1714"/>
      <c r="AJ75" s="1714"/>
      <c r="AK75" s="1714"/>
      <c r="AL75" s="1714"/>
      <c r="AM75" s="1714"/>
      <c r="AN75" s="1714"/>
      <c r="AO75" s="366">
        <v>0.75</v>
      </c>
      <c r="AP75" s="1710"/>
      <c r="AQ75" s="1710"/>
      <c r="AR75" s="1714"/>
      <c r="AS75" s="1714"/>
      <c r="AT75" s="1714"/>
      <c r="AU75" s="1714"/>
      <c r="AV75" s="1714"/>
      <c r="AW75" s="1714"/>
      <c r="AX75" s="1714"/>
      <c r="AY75" s="217"/>
      <c r="AZ75" s="217"/>
      <c r="BA75" s="1159" t="s">
        <v>543</v>
      </c>
      <c r="BB75" s="1213"/>
      <c r="BC75" s="1213"/>
      <c r="BD75" s="1163"/>
      <c r="BE75" s="1163"/>
    </row>
    <row s="1642" customFormat="1" customHeight="1" ht="29.25">
      <c r="A76" s="1184"/>
      <c r="B76" s="925"/>
      <c r="C76" s="1437"/>
      <c r="D76" s="1437"/>
      <c r="E76" s="794">
        <v>30</v>
      </c>
      <c r="F76" s="920" cm="1" t="str">
        <f t="array" ref="F76:F76">OFFSET(G76,-1,-1)</f>
        <v>1</v>
      </c>
      <c r="G76" s="920" t="s">
        <v>544</v>
      </c>
      <c r="H76" s="172" t="s">
        <v>545</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546</v>
      </c>
      <c r="AD76" s="834"/>
      <c r="AE76" s="1714"/>
      <c r="AF76" s="1710">
        <f>0.75</f>
        <v>0.75</v>
      </c>
      <c r="AG76" s="1710">
        <f>0.75</f>
        <v>0.75</v>
      </c>
      <c r="AH76" s="1714">
        <f>0.75</f>
        <v>0.75</v>
      </c>
      <c r="AI76" s="1714">
        <f>0.75</f>
        <v>0.75</v>
      </c>
      <c r="AJ76" s="1714">
        <f>0.75</f>
        <v>0.75</v>
      </c>
      <c r="AK76" s="1714">
        <f>0.75</f>
        <v>0.75</v>
      </c>
      <c r="AL76" s="1714">
        <f>0.75</f>
        <v>0.75</v>
      </c>
      <c r="AM76" s="1714">
        <f>0.75</f>
        <v>0.75</v>
      </c>
      <c r="AN76" s="1714">
        <f>0.75</f>
        <v>0.75</v>
      </c>
      <c r="AO76" s="366"/>
      <c r="AP76" s="1710">
        <f>0.75</f>
        <v>0.75</v>
      </c>
      <c r="AQ76" s="1710">
        <f>0.75</f>
        <v>0.75</v>
      </c>
      <c r="AR76" s="1714">
        <f>0.75</f>
        <v>0.75</v>
      </c>
      <c r="AS76" s="1714">
        <f>0.75</f>
        <v>0.75</v>
      </c>
      <c r="AT76" s="1714">
        <f>0.75</f>
        <v>0.75</v>
      </c>
      <c r="AU76" s="1714">
        <f>0.75</f>
        <v>0.75</v>
      </c>
      <c r="AV76" s="1714">
        <f>0.75</f>
        <v>0.75</v>
      </c>
      <c r="AW76" s="1714">
        <f>0.75</f>
        <v>0.75</v>
      </c>
      <c r="AX76" s="1714">
        <f>0.75</f>
        <v>0.75</v>
      </c>
      <c r="AY76" s="217"/>
      <c r="AZ76" s="217"/>
      <c r="BA76" s="1159" t="s">
        <v>547</v>
      </c>
      <c r="BB76" s="1213"/>
      <c r="BC76" s="1213"/>
      <c r="BD76" s="1163"/>
      <c r="BE76" s="1163"/>
    </row>
    <row s="1642"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548</v>
      </c>
      <c r="AC77" s="345" t="s">
        <v>549</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42" customFormat="1" customHeight="1" ht="16.5">
      <c r="A78" s="1184"/>
      <c r="B78" s="925"/>
      <c r="C78" s="1437"/>
      <c r="D78" s="1437"/>
      <c r="E78" s="794">
        <v>17.1</v>
      </c>
      <c r="F78" s="920" cm="1" t="str">
        <f t="array" ref="F78:F78">OFFSET(G78,-1,-1)</f>
        <v>1</v>
      </c>
      <c r="G78" s="920" t="s">
        <v>550</v>
      </c>
      <c r="H78" s="172" t="s">
        <v>551</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552</v>
      </c>
      <c r="AC78" s="205" t="s">
        <v>553</v>
      </c>
      <c r="AD78" s="206" t="s">
        <v>485</v>
      </c>
      <c r="AE78" s="1714"/>
      <c r="AF78" s="1710"/>
      <c r="AG78" s="1710"/>
      <c r="AH78" s="1714"/>
      <c r="AI78" s="1714"/>
      <c r="AJ78" s="1714"/>
      <c r="AK78" s="1714"/>
      <c r="AL78" s="1714"/>
      <c r="AM78" s="1714"/>
      <c r="AN78" s="1714"/>
      <c r="AO78" s="366"/>
      <c r="AP78" s="1710"/>
      <c r="AQ78" s="1710"/>
      <c r="AR78" s="1714"/>
      <c r="AS78" s="1714"/>
      <c r="AT78" s="1714"/>
      <c r="AU78" s="1714"/>
      <c r="AV78" s="1714"/>
      <c r="AW78" s="1714"/>
      <c r="AX78" s="1714"/>
      <c r="AY78" s="217"/>
      <c r="AZ78" s="217"/>
      <c r="BA78" s="1159" t="s">
        <v>554</v>
      </c>
      <c r="BB78" s="1213"/>
      <c r="BC78" s="1213"/>
      <c r="BD78" s="1163"/>
      <c r="BE78" s="1163"/>
    </row>
    <row s="1642" customFormat="1" customHeight="1" ht="16.5">
      <c r="A79" s="1184"/>
      <c r="B79" s="925"/>
      <c r="C79" s="1437"/>
      <c r="D79" s="1437"/>
      <c r="E79" s="794">
        <v>17.1</v>
      </c>
      <c r="F79" s="920" cm="1" t="str">
        <f t="array" ref="F79:F79">OFFSET(G79,-1,-1)</f>
        <v>1</v>
      </c>
      <c r="G79" s="1437"/>
      <c r="H79" s="172" t="s">
        <v>555</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556</v>
      </c>
      <c r="AC79" s="207" t="s">
        <v>557</v>
      </c>
      <c r="AD79" s="206" t="s">
        <v>485</v>
      </c>
      <c r="AE79" s="1714"/>
      <c r="AF79" s="1710"/>
      <c r="AG79" s="1710"/>
      <c r="AH79" s="1714"/>
      <c r="AI79" s="1714"/>
      <c r="AJ79" s="1714"/>
      <c r="AK79" s="1714"/>
      <c r="AL79" s="1714"/>
      <c r="AM79" s="1714"/>
      <c r="AN79" s="1714"/>
      <c r="AO79" s="366"/>
      <c r="AP79" s="1710"/>
      <c r="AQ79" s="1710"/>
      <c r="AR79" s="1714"/>
      <c r="AS79" s="1714"/>
      <c r="AT79" s="1714"/>
      <c r="AU79" s="1714"/>
      <c r="AV79" s="1714"/>
      <c r="AW79" s="1714"/>
      <c r="AX79" s="1714"/>
      <c r="AY79" s="217"/>
      <c r="AZ79" s="217"/>
      <c r="BA79" s="1159" t="s">
        <v>558</v>
      </c>
      <c r="BB79" s="1213"/>
      <c r="BC79" s="1213"/>
      <c r="BD79" s="1163"/>
      <c r="BE79" s="1163"/>
    </row>
    <row s="1642" customFormat="1" customHeight="1" ht="16.5">
      <c r="A80" s="1184"/>
      <c r="B80" s="925"/>
      <c r="C80" s="1437"/>
      <c r="D80" s="1437"/>
      <c r="E80" s="794">
        <v>17.1</v>
      </c>
      <c r="F80" s="920" cm="1" t="str">
        <f t="array" ref="F80:F80">OFFSET(G80,-1,-1)</f>
        <v>1</v>
      </c>
      <c r="G80" s="1437"/>
      <c r="H80" s="172" t="s">
        <v>559</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560</v>
      </c>
      <c r="AC80" s="207" t="s">
        <v>561</v>
      </c>
      <c r="AD80" s="206" t="s">
        <v>485</v>
      </c>
      <c r="AE80" s="1714"/>
      <c r="AF80" s="1710"/>
      <c r="AG80" s="1710"/>
      <c r="AH80" s="1714"/>
      <c r="AI80" s="1714"/>
      <c r="AJ80" s="1714"/>
      <c r="AK80" s="1714"/>
      <c r="AL80" s="1714"/>
      <c r="AM80" s="1714"/>
      <c r="AN80" s="1714"/>
      <c r="AO80" s="366"/>
      <c r="AP80" s="1710"/>
      <c r="AQ80" s="1710"/>
      <c r="AR80" s="1714"/>
      <c r="AS80" s="1714"/>
      <c r="AT80" s="1714"/>
      <c r="AU80" s="1714"/>
      <c r="AV80" s="1714"/>
      <c r="AW80" s="1714"/>
      <c r="AX80" s="1714"/>
      <c r="AY80" s="217"/>
      <c r="AZ80" s="217"/>
      <c r="BA80" s="1159" t="s">
        <v>562</v>
      </c>
      <c r="BB80" s="1213"/>
      <c r="BC80" s="1213"/>
      <c r="BD80" s="1163"/>
      <c r="BE80" s="1163"/>
    </row>
    <row s="1642" customFormat="1" customHeight="1" ht="16.5">
      <c r="A81" s="1184"/>
      <c r="B81" s="925"/>
      <c r="C81" s="1437"/>
      <c r="D81" s="1437"/>
      <c r="E81" s="794">
        <v>17.1</v>
      </c>
      <c r="F81" s="920" cm="1" t="str">
        <f t="array" ref="F81:F81">OFFSET(G81,-1,-1)</f>
        <v>1</v>
      </c>
      <c r="G81" s="1437"/>
      <c r="H81" s="172" t="s">
        <v>563</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564</v>
      </c>
      <c r="AC81" s="207" t="s">
        <v>565</v>
      </c>
      <c r="AD81" s="206" t="s">
        <v>485</v>
      </c>
      <c r="AE81" s="1714"/>
      <c r="AF81" s="1710"/>
      <c r="AG81" s="1710"/>
      <c r="AH81" s="1714"/>
      <c r="AI81" s="1714"/>
      <c r="AJ81" s="1714"/>
      <c r="AK81" s="1714"/>
      <c r="AL81" s="1714"/>
      <c r="AM81" s="1714"/>
      <c r="AN81" s="1714"/>
      <c r="AO81" s="366"/>
      <c r="AP81" s="1710"/>
      <c r="AQ81" s="1710"/>
      <c r="AR81" s="1714"/>
      <c r="AS81" s="1714"/>
      <c r="AT81" s="1714"/>
      <c r="AU81" s="1714"/>
      <c r="AV81" s="1714"/>
      <c r="AW81" s="1714"/>
      <c r="AX81" s="1714"/>
      <c r="AY81" s="217"/>
      <c r="AZ81" s="217"/>
      <c r="BA81" s="1159" t="s">
        <v>566</v>
      </c>
      <c r="BB81" s="1213"/>
      <c r="BC81" s="1213"/>
      <c r="BD81" s="1163"/>
      <c r="BE81" s="1163"/>
    </row>
    <row customHeight="1" ht="11.115">
      <c r="E82" s="794">
        <v>11.4</v>
      </c>
      <c r="V82" s="172" t="s">
        <v>237</v>
      </c>
      <c r="W82" s="168" t="s">
        <v>567</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86BF3-9B18-43D8-AF08-F881F75E10A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372</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424</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425</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Ульяновская область / 2026 / ООО "НИИАР-ГЕНЕРАЦИЯ" (ИНН:7329008990, КПП:732901001)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385</v>
      </c>
      <c r="AC24" s="1441" t="s">
        <v>483</v>
      </c>
      <c r="AD24" s="1446" t="s">
        <v>568</v>
      </c>
      <c r="AE24" s="1441" t="s">
        <v>428</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402</v>
      </c>
      <c r="AG25" s="1355" t="s">
        <v>402</v>
      </c>
      <c r="AH25" s="1355" t="s">
        <v>402</v>
      </c>
      <c r="AI25" s="1355" t="s">
        <v>402</v>
      </c>
      <c r="AJ25" s="1355" t="s">
        <v>402</v>
      </c>
      <c r="AK25" s="1355" t="s">
        <v>402</v>
      </c>
      <c r="AL25" s="1355" t="s">
        <v>402</v>
      </c>
      <c r="AM25" s="1355" t="s">
        <v>402</v>
      </c>
      <c r="AN25" s="1355" t="s">
        <v>402</v>
      </c>
      <c r="AO25" s="1355" t="s">
        <v>402</v>
      </c>
      <c r="AP25" s="410" t="s">
        <v>401</v>
      </c>
      <c r="AQ25" s="410" t="s">
        <v>401</v>
      </c>
      <c r="AR25" s="410" t="s">
        <v>401</v>
      </c>
      <c r="AS25" s="410" t="s">
        <v>401</v>
      </c>
      <c r="AT25" s="410" t="s">
        <v>401</v>
      </c>
      <c r="AU25" s="410" t="s">
        <v>401</v>
      </c>
      <c r="AV25" s="410" t="s">
        <v>401</v>
      </c>
      <c r="AW25" s="410" t="s">
        <v>401</v>
      </c>
      <c r="AX25" s="410" t="s">
        <v>401</v>
      </c>
      <c r="AY25" s="166" t="s">
        <v>401</v>
      </c>
    </row>
    <row customHeight="1" ht="23.400000000000002">
      <c r="E26" s="794">
        <v>24</v>
      </c>
      <c r="AB26" s="154"/>
      <c r="AC26" s="832" t="s">
        <v>484</v>
      </c>
      <c r="AD26" s="832"/>
      <c r="AE26" s="206" t="s">
        <v>485</v>
      </c>
      <c r="AF26" s="843"/>
      <c r="AG26" s="843"/>
      <c r="AH26" s="843"/>
      <c r="AI26" s="1722"/>
      <c r="AJ26" s="1722"/>
      <c r="AK26" s="1722"/>
      <c r="AL26" s="1722"/>
      <c r="AM26" s="1722"/>
      <c r="AN26" s="1722"/>
      <c r="AO26" s="1722"/>
      <c r="AP26" s="843"/>
      <c r="AQ26" s="843"/>
      <c r="AR26" s="843"/>
      <c r="AS26" s="1722"/>
      <c r="AT26" s="1722"/>
      <c r="AU26" s="1722"/>
      <c r="AV26" s="1722"/>
      <c r="AW26" s="1722"/>
      <c r="AX26" s="1722"/>
      <c r="AY26" s="1723"/>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311</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486</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488</v>
      </c>
      <c r="U30" s="921">
        <f>F30&gt;0</f>
        <v>0</v>
      </c>
      <c r="AB30" s="151">
        <v>1</v>
      </c>
      <c r="AC30" s="320" t="s">
        <v>569</v>
      </c>
      <c r="AD30" s="170" t="s">
        <v>570</v>
      </c>
      <c r="AE30" s="206" t="s">
        <v>485</v>
      </c>
      <c r="AF30" s="72"/>
      <c r="AG30" s="843"/>
      <c r="AH30" s="843"/>
      <c r="AI30" s="1722"/>
      <c r="AJ30" s="1722"/>
      <c r="AK30" s="72"/>
      <c r="AL30" s="72"/>
      <c r="AM30" s="72"/>
      <c r="AN30" s="72"/>
      <c r="AO30" s="72"/>
      <c r="AP30" s="843"/>
      <c r="AQ30" s="843"/>
      <c r="AR30" s="843"/>
      <c r="AS30" s="1722"/>
      <c r="AT30" s="1722"/>
      <c r="AU30" s="72"/>
      <c r="AV30" s="72"/>
      <c r="AW30" s="72"/>
      <c r="AX30" s="72"/>
      <c r="AY30" s="72"/>
      <c r="BB30" s="1197" t="s">
        <v>571</v>
      </c>
    </row>
    <row customHeight="1" ht="16.672500000000003" hidden="1">
      <c r="E31" s="794">
        <v>17.1</v>
      </c>
      <c r="F31" s="920" cm="1" t="str">
        <f t="array" ref="F31:F31">OFFSET(G31,-1,-1)</f>
        <v>0</v>
      </c>
      <c r="H31" s="172" t="s">
        <v>501</v>
      </c>
      <c r="U31" s="921">
        <f>F31&gt;0</f>
        <v>0</v>
      </c>
      <c r="AB31" s="151">
        <v>2</v>
      </c>
      <c r="AC31" s="320"/>
      <c r="AD31" s="170" t="s">
        <v>572</v>
      </c>
      <c r="AE31" s="206" t="s">
        <v>485</v>
      </c>
      <c r="AF31" s="1128"/>
      <c r="AG31" s="843" cm="1" t="str">
        <f t="array" ref="AG31:AG31">AG30</f>
        <v>0</v>
      </c>
      <c r="AH31" s="1129">
        <f>(1+AG31)*(1+AH30)-1</f>
        <v>0</v>
      </c>
      <c r="AI31" s="1724">
        <f>(1+AH31)*(1+AI30)-1</f>
        <v>0</v>
      </c>
      <c r="AJ31" s="1724">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24">
        <f>(1+AR31)*(1+AS30)-1</f>
        <v>0</v>
      </c>
      <c r="AT31" s="1724">
        <f>(1+AS31)*(1+AT30)-1</f>
        <v>0</v>
      </c>
      <c r="AU31" s="73">
        <f>(1+AT31)*(1+AU30)-1</f>
        <v>0</v>
      </c>
      <c r="AV31" s="73">
        <f>(1+AU31)*(1+AV30)-1</f>
        <v>0</v>
      </c>
      <c r="AW31" s="73">
        <f>(1+AV31)*(1+AW30)-1</f>
        <v>0</v>
      </c>
      <c r="AX31" s="73">
        <f>(1+AW31)*(1+AX30)-1</f>
        <v>0</v>
      </c>
      <c r="AY31" s="73">
        <f>(1+AX31)*(1+AY30)-1</f>
        <v>0</v>
      </c>
      <c r="BB31" s="1197" t="s">
        <v>573</v>
      </c>
    </row>
    <row customHeight="1" ht="16.672500000000003" hidden="1">
      <c r="E32" s="794">
        <v>17.1</v>
      </c>
      <c r="F32" s="920" cm="1" t="str">
        <f t="array" ref="F32:F32">OFFSET(G32,-1,-1)</f>
        <v>0</v>
      </c>
      <c r="H32" s="172" t="s">
        <v>504</v>
      </c>
      <c r="U32" s="921">
        <f>F32&gt;0</f>
        <v>0</v>
      </c>
      <c r="AB32" s="151">
        <v>3</v>
      </c>
      <c r="AC32" s="320" t="s">
        <v>574</v>
      </c>
      <c r="AD32" s="170" t="s">
        <v>570</v>
      </c>
      <c r="AE32" s="206" t="s">
        <v>485</v>
      </c>
      <c r="AF32" s="72"/>
      <c r="AG32" s="843"/>
      <c r="AH32" s="843"/>
      <c r="AI32" s="1722"/>
      <c r="AJ32" s="1722"/>
      <c r="AK32" s="72"/>
      <c r="AL32" s="72"/>
      <c r="AM32" s="72"/>
      <c r="AN32" s="72"/>
      <c r="AO32" s="72"/>
      <c r="AP32" s="843"/>
      <c r="AQ32" s="843"/>
      <c r="AR32" s="843"/>
      <c r="AS32" s="1722"/>
      <c r="AT32" s="1722"/>
      <c r="AU32" s="72"/>
      <c r="AV32" s="72"/>
      <c r="AW32" s="72"/>
      <c r="AX32" s="72"/>
      <c r="AY32" s="72"/>
      <c r="BB32" s="1197" t="s">
        <v>575</v>
      </c>
    </row>
    <row customHeight="1" ht="16.672500000000003" hidden="1">
      <c r="E33" s="794">
        <v>17.1</v>
      </c>
      <c r="F33" s="920" cm="1" t="str">
        <f t="array" ref="F33:F33">OFFSET(G33,-1,-1)</f>
        <v>0</v>
      </c>
      <c r="H33" s="172" t="s">
        <v>507</v>
      </c>
      <c r="U33" s="921">
        <f>F33&gt;0</f>
        <v>0</v>
      </c>
      <c r="AB33" s="151">
        <v>4</v>
      </c>
      <c r="AC33" s="320"/>
      <c r="AD33" s="170" t="s">
        <v>572</v>
      </c>
      <c r="AE33" s="206" t="s">
        <v>485</v>
      </c>
      <c r="AF33" s="1128"/>
      <c r="AG33" s="843" cm="1" t="str">
        <f t="array" ref="AG33:AG33">AG32</f>
        <v>0</v>
      </c>
      <c r="AH33" s="1129">
        <f>(1+AG33)*(1+AH32)-1</f>
        <v>0</v>
      </c>
      <c r="AI33" s="1724">
        <f>(1+AH33)*(1+AI32)-1</f>
        <v>0</v>
      </c>
      <c r="AJ33" s="1724">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24">
        <f>(1+AR33)*(1+AS32)-1</f>
        <v>0</v>
      </c>
      <c r="AT33" s="1724">
        <f>(1+AS33)*(1+AT32)-1</f>
        <v>0</v>
      </c>
      <c r="AU33" s="73">
        <f>(1+AT33)*(1+AU32)-1</f>
        <v>0</v>
      </c>
      <c r="AV33" s="73">
        <f>(1+AU33)*(1+AV32)-1</f>
        <v>0</v>
      </c>
      <c r="AW33" s="73">
        <f>(1+AV33)*(1+AW32)-1</f>
        <v>0</v>
      </c>
      <c r="AX33" s="73">
        <f>(1+AW33)*(1+AX32)-1</f>
        <v>0</v>
      </c>
      <c r="AY33" s="73">
        <f>(1+AX33)*(1+AY32)-1</f>
        <v>0</v>
      </c>
      <c r="BB33" s="1197" t="s">
        <v>576</v>
      </c>
    </row>
    <row customHeight="1" ht="16.672500000000003" hidden="1">
      <c r="E34" s="794">
        <v>17.1</v>
      </c>
      <c r="F34" s="920" cm="1" t="str">
        <f t="array" ref="F34:F34">OFFSET(G34,-1,-1)</f>
        <v>0</v>
      </c>
      <c r="H34" s="172" t="s">
        <v>510</v>
      </c>
      <c r="U34" s="921">
        <f>F34&gt;0</f>
        <v>0</v>
      </c>
      <c r="AB34" s="151">
        <v>5</v>
      </c>
      <c r="AC34" s="320" t="s">
        <v>577</v>
      </c>
      <c r="AD34" s="320"/>
      <c r="AE34" s="206" t="s">
        <v>485</v>
      </c>
      <c r="AF34" s="72"/>
      <c r="AG34" s="843"/>
      <c r="AH34" s="843"/>
      <c r="AI34" s="1722"/>
      <c r="AJ34" s="1722"/>
      <c r="AK34" s="72"/>
      <c r="AL34" s="72"/>
      <c r="AM34" s="72"/>
      <c r="AN34" s="72"/>
      <c r="AO34" s="72"/>
      <c r="AP34" s="843"/>
      <c r="AQ34" s="843"/>
      <c r="AR34" s="843"/>
      <c r="AS34" s="1722"/>
      <c r="AT34" s="1722"/>
      <c r="AU34" s="72"/>
      <c r="AV34" s="72"/>
      <c r="AW34" s="72"/>
      <c r="AX34" s="72"/>
      <c r="AY34" s="72"/>
      <c r="BB34" s="1197" t="s">
        <v>578</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337</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42"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486</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42" customFormat="1" customHeight="1" ht="16.5">
      <c r="A37" s="1437"/>
      <c r="B37" s="925"/>
      <c r="C37" s="1437"/>
      <c r="D37" s="1437"/>
      <c r="E37" s="794">
        <v>17.1</v>
      </c>
      <c r="F37" s="920" cm="1" t="str">
        <f t="array" ref="F37:F37">OFFSET(G37,-1,-1)</f>
        <v>1</v>
      </c>
      <c r="G37" s="1437"/>
      <c r="H37" s="172" t="s">
        <v>488</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579</v>
      </c>
      <c r="AD37" s="170" t="s">
        <v>570</v>
      </c>
      <c r="AE37" s="206" t="s">
        <v>485</v>
      </c>
      <c r="AF37" s="1725"/>
      <c r="AG37" s="843"/>
      <c r="AH37" s="843"/>
      <c r="AI37" s="1722"/>
      <c r="AJ37" s="1722"/>
      <c r="AK37" s="1725"/>
      <c r="AL37" s="1725"/>
      <c r="AM37" s="1725"/>
      <c r="AN37" s="1725"/>
      <c r="AO37" s="1725"/>
      <c r="AP37" s="843"/>
      <c r="AQ37" s="843"/>
      <c r="AR37" s="843"/>
      <c r="AS37" s="1722"/>
      <c r="AT37" s="1722"/>
      <c r="AU37" s="1725"/>
      <c r="AV37" s="1725"/>
      <c r="AW37" s="1725"/>
      <c r="AX37" s="1725"/>
      <c r="AY37" s="1725"/>
      <c r="AZ37" s="217"/>
      <c r="BA37" s="217"/>
      <c r="BB37" s="1197" t="s">
        <v>571</v>
      </c>
    </row>
    <row s="1642" customFormat="1" customHeight="1" ht="16.5">
      <c r="A38" s="1437"/>
      <c r="B38" s="925"/>
      <c r="C38" s="1437"/>
      <c r="D38" s="1437"/>
      <c r="E38" s="794">
        <v>17.1</v>
      </c>
      <c r="F38" s="920" cm="1" t="str">
        <f t="array" ref="F38:F38">OFFSET(G38,-1,-1)</f>
        <v>1</v>
      </c>
      <c r="G38" s="1437"/>
      <c r="H38" s="172" t="s">
        <v>501</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572</v>
      </c>
      <c r="AE38" s="206" t="s">
        <v>485</v>
      </c>
      <c r="AF38" s="1128"/>
      <c r="AG38" s="843" cm="1" t="str">
        <f t="array" ref="AG38:AG38">AG37</f>
        <v>0</v>
      </c>
      <c r="AH38" s="1129">
        <f>(1+AG38)*(1+AH37)-1</f>
        <v>0</v>
      </c>
      <c r="AI38" s="1724">
        <f>(1+AH38)*(1+AI37)-1</f>
        <v>0</v>
      </c>
      <c r="AJ38" s="1724">
        <f>(1+AI38)*(1+AJ37)-1</f>
        <v>0</v>
      </c>
      <c r="AK38" s="1727">
        <f>(1+AJ38)*(1+AK37)-1</f>
        <v>0</v>
      </c>
      <c r="AL38" s="1727">
        <f>(1+AK38)*(1+AL37)-1</f>
        <v>0</v>
      </c>
      <c r="AM38" s="1727">
        <f>(1+AL38)*(1+AM37)-1</f>
        <v>0</v>
      </c>
      <c r="AN38" s="1727">
        <f>(1+AM38)*(1+AN37)-1</f>
        <v>0</v>
      </c>
      <c r="AO38" s="1727">
        <f>(1+AN38)*(1+AO37)-1</f>
        <v>0</v>
      </c>
      <c r="AP38" s="1128"/>
      <c r="AQ38" s="843" cm="1" t="str">
        <f t="array" ref="AQ38:AQ38">AQ37</f>
        <v>0</v>
      </c>
      <c r="AR38" s="1129">
        <f>(1+AQ38)*(1+AR37)-1</f>
        <v>0</v>
      </c>
      <c r="AS38" s="1724">
        <f>(1+AR38)*(1+AS37)-1</f>
        <v>0</v>
      </c>
      <c r="AT38" s="1724">
        <f>(1+AS38)*(1+AT37)-1</f>
        <v>0</v>
      </c>
      <c r="AU38" s="1727">
        <f>(1+AT38)*(1+AU37)-1</f>
        <v>0</v>
      </c>
      <c r="AV38" s="1727">
        <f>(1+AU38)*(1+AV37)-1</f>
        <v>0</v>
      </c>
      <c r="AW38" s="1727">
        <f>(1+AV38)*(1+AW37)-1</f>
        <v>0</v>
      </c>
      <c r="AX38" s="1727">
        <f>(1+AW38)*(1+AX37)-1</f>
        <v>0</v>
      </c>
      <c r="AY38" s="1727">
        <f>(1+AX38)*(1+AY37)-1</f>
        <v>0</v>
      </c>
      <c r="AZ38" s="217"/>
      <c r="BA38" s="217"/>
      <c r="BB38" s="1197" t="s">
        <v>573</v>
      </c>
    </row>
    <row s="1642" customFormat="1" customHeight="1" ht="16.5">
      <c r="A39" s="1437"/>
      <c r="B39" s="925"/>
      <c r="C39" s="1437"/>
      <c r="D39" s="1437"/>
      <c r="E39" s="794">
        <v>17.1</v>
      </c>
      <c r="F39" s="920" cm="1" t="str">
        <f t="array" ref="F39:F39">OFFSET(G39,-1,-1)</f>
        <v>1</v>
      </c>
      <c r="G39" s="1437"/>
      <c r="H39" s="172" t="s">
        <v>504</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574</v>
      </c>
      <c r="AD39" s="170" t="s">
        <v>570</v>
      </c>
      <c r="AE39" s="206" t="s">
        <v>485</v>
      </c>
      <c r="AF39" s="1725"/>
      <c r="AG39" s="843"/>
      <c r="AH39" s="843"/>
      <c r="AI39" s="1722"/>
      <c r="AJ39" s="1722"/>
      <c r="AK39" s="1725"/>
      <c r="AL39" s="1725"/>
      <c r="AM39" s="1725"/>
      <c r="AN39" s="1725"/>
      <c r="AO39" s="1725"/>
      <c r="AP39" s="843"/>
      <c r="AQ39" s="843"/>
      <c r="AR39" s="843"/>
      <c r="AS39" s="1722"/>
      <c r="AT39" s="1722"/>
      <c r="AU39" s="1725"/>
      <c r="AV39" s="1725"/>
      <c r="AW39" s="1725"/>
      <c r="AX39" s="1725"/>
      <c r="AY39" s="1725"/>
      <c r="AZ39" s="217"/>
      <c r="BA39" s="217"/>
      <c r="BB39" s="1197" t="s">
        <v>575</v>
      </c>
    </row>
    <row s="1642" customFormat="1" customHeight="1" ht="16.5">
      <c r="A40" s="1437"/>
      <c r="B40" s="925"/>
      <c r="C40" s="1437"/>
      <c r="D40" s="1437"/>
      <c r="E40" s="794">
        <v>17.1</v>
      </c>
      <c r="F40" s="920" cm="1" t="str">
        <f t="array" ref="F40:F40">OFFSET(G40,-1,-1)</f>
        <v>1</v>
      </c>
      <c r="G40" s="1437"/>
      <c r="H40" s="172" t="s">
        <v>507</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572</v>
      </c>
      <c r="AE40" s="206" t="s">
        <v>485</v>
      </c>
      <c r="AF40" s="1128"/>
      <c r="AG40" s="843" cm="1" t="str">
        <f t="array" ref="AG40:AG40">AG39</f>
        <v>0</v>
      </c>
      <c r="AH40" s="1129">
        <f>(1+AG40)*(1+AH39)-1</f>
        <v>0</v>
      </c>
      <c r="AI40" s="1724">
        <f>(1+AH40)*(1+AI39)-1</f>
        <v>0</v>
      </c>
      <c r="AJ40" s="1724">
        <f>(1+AI40)*(1+AJ39)-1</f>
        <v>0</v>
      </c>
      <c r="AK40" s="1727">
        <f>(1+AJ40)*(1+AK39)-1</f>
        <v>0</v>
      </c>
      <c r="AL40" s="1727">
        <f>(1+AK40)*(1+AL39)-1</f>
        <v>0</v>
      </c>
      <c r="AM40" s="1727">
        <f>(1+AL40)*(1+AM39)-1</f>
        <v>0</v>
      </c>
      <c r="AN40" s="1727">
        <f>(1+AM40)*(1+AN39)-1</f>
        <v>0</v>
      </c>
      <c r="AO40" s="1727">
        <f>(1+AN40)*(1+AO39)-1</f>
        <v>0</v>
      </c>
      <c r="AP40" s="1128"/>
      <c r="AQ40" s="843" cm="1" t="str">
        <f t="array" ref="AQ40:AQ40">AQ39</f>
        <v>0</v>
      </c>
      <c r="AR40" s="1129">
        <f>(1+AQ40)*(1+AR39)-1</f>
        <v>0</v>
      </c>
      <c r="AS40" s="1724">
        <f>(1+AR40)*(1+AS39)-1</f>
        <v>0</v>
      </c>
      <c r="AT40" s="1724">
        <f>(1+AS40)*(1+AT39)-1</f>
        <v>0</v>
      </c>
      <c r="AU40" s="1727">
        <f>(1+AT40)*(1+AU39)-1</f>
        <v>0</v>
      </c>
      <c r="AV40" s="1727">
        <f>(1+AU40)*(1+AV39)-1</f>
        <v>0</v>
      </c>
      <c r="AW40" s="1727">
        <f>(1+AV40)*(1+AW39)-1</f>
        <v>0</v>
      </c>
      <c r="AX40" s="1727">
        <f>(1+AW40)*(1+AX39)-1</f>
        <v>0</v>
      </c>
      <c r="AY40" s="1727">
        <f>(1+AX40)*(1+AY39)-1</f>
        <v>0</v>
      </c>
      <c r="AZ40" s="217"/>
      <c r="BA40" s="217"/>
      <c r="BB40" s="1197" t="s">
        <v>576</v>
      </c>
    </row>
    <row s="1642" customFormat="1" customHeight="1" ht="16.5">
      <c r="A41" s="1437"/>
      <c r="B41" s="925"/>
      <c r="C41" s="1437"/>
      <c r="D41" s="1437"/>
      <c r="E41" s="794">
        <v>17.1</v>
      </c>
      <c r="F41" s="920" cm="1" t="str">
        <f t="array" ref="F41:F41">OFFSET(G41,-1,-1)</f>
        <v>1</v>
      </c>
      <c r="G41" s="1437"/>
      <c r="H41" s="172" t="s">
        <v>510</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577</v>
      </c>
      <c r="AD41" s="320"/>
      <c r="AE41" s="206" t="s">
        <v>485</v>
      </c>
      <c r="AF41" s="1725"/>
      <c r="AG41" s="843"/>
      <c r="AH41" s="843"/>
      <c r="AI41" s="1722"/>
      <c r="AJ41" s="1722"/>
      <c r="AK41" s="1725"/>
      <c r="AL41" s="1725"/>
      <c r="AM41" s="1725"/>
      <c r="AN41" s="1725"/>
      <c r="AO41" s="1725"/>
      <c r="AP41" s="843"/>
      <c r="AQ41" s="843"/>
      <c r="AR41" s="843"/>
      <c r="AS41" s="1722"/>
      <c r="AT41" s="1722"/>
      <c r="AU41" s="1725"/>
      <c r="AV41" s="1725"/>
      <c r="AW41" s="1725"/>
      <c r="AX41" s="1725"/>
      <c r="AY41" s="1725"/>
      <c r="AZ41" s="217"/>
      <c r="BA41" s="217"/>
      <c r="BB41" s="1197" t="s">
        <v>578</v>
      </c>
    </row>
    <row customHeight="1" ht="11.115">
      <c r="E42" s="794">
        <v>11.4</v>
      </c>
      <c r="V42" s="172" t="s">
        <v>237</v>
      </c>
      <c r="W42" s="168" t="s">
        <v>580</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